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\Desktop\Молоко\"/>
    </mc:Choice>
  </mc:AlternateContent>
  <xr:revisionPtr revIDLastSave="0" documentId="13_ncr:1_{B2683186-5ACC-4A16-9D0D-9C43B6791B66}" xr6:coauthVersionLast="47" xr6:coauthVersionMax="47" xr10:uidLastSave="{00000000-0000-0000-0000-000000000000}"/>
  <workbookProtection lockStructure="1"/>
  <bookViews>
    <workbookView xWindow="-108" yWindow="-108" windowWidth="23256" windowHeight="12576" activeTab="1" xr2:uid="{00000000-000D-0000-FFFF-FFFF00000000}"/>
  </bookViews>
  <sheets>
    <sheet name="1" sheetId="35" r:id="rId1"/>
    <sheet name="Довідник" sheetId="31" r:id="rId2"/>
    <sheet name="Інвестиції" sheetId="1" r:id="rId3"/>
    <sheet name="План вступу в члени" sheetId="15" r:id="rId4"/>
    <sheet name="Збір молока по селах" sheetId="16" r:id="rId5"/>
    <sheet name="Збір молока" sheetId="3" r:id="rId6"/>
    <sheet name="Виробничий план" sheetId="13" r:id="rId7"/>
    <sheet name="Надходження коштів" sheetId="14" r:id="rId8"/>
    <sheet name="Реалізація" sheetId="8" r:id="rId9"/>
    <sheet name="Відстань" sheetId="17" r:id="rId10"/>
    <sheet name="ПММ" sheetId="32" r:id="rId11"/>
    <sheet name="Транспорт" sheetId="2" r:id="rId12"/>
    <sheet name="Фонд ОП" sheetId="18" r:id="rId13"/>
    <sheet name="ОП" sheetId="5" r:id="rId14"/>
    <sheet name="Енергоресурси НП" sheetId="6" r:id="rId15"/>
    <sheet name="Енергоресурси ГРН" sheetId="33" r:id="rId16"/>
    <sheet name="Матеріали1" sheetId="20" r:id="rId17"/>
    <sheet name="Матеріали2" sheetId="21" r:id="rId18"/>
    <sheet name="Молоко-сировина" sheetId="22" r:id="rId19"/>
    <sheet name="Витрати на збут" sheetId="23" r:id="rId20"/>
    <sheet name="Експл витрати" sheetId="34" r:id="rId21"/>
    <sheet name="АВ" sheetId="4" r:id="rId22"/>
    <sheet name="Накладні витрати" sheetId="24" r:id="rId23"/>
    <sheet name="Розподіл НВ" sheetId="25" r:id="rId24"/>
    <sheet name="Кошторис" sheetId="26" r:id="rId25"/>
    <sheet name="Собівартість" sheetId="27" r:id="rId26"/>
    <sheet name="Рентабельність" sheetId="28" r:id="rId27"/>
    <sheet name="Фін результат" sheetId="29" r:id="rId28"/>
    <sheet name="Рух коштів" sheetId="30" r:id="rId2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30" l="1"/>
  <c r="B14" i="30"/>
  <c r="B30" i="30" s="1"/>
  <c r="B32" i="30" s="1"/>
  <c r="B17" i="30"/>
  <c r="B29" i="30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C4" i="4"/>
  <c r="C5" i="4"/>
  <c r="C6" i="4"/>
  <c r="C7" i="4"/>
  <c r="E7" i="4" s="1"/>
  <c r="C8" i="4"/>
  <c r="C9" i="4"/>
  <c r="C10" i="4"/>
  <c r="C11" i="4"/>
  <c r="C12" i="4"/>
  <c r="C13" i="4"/>
  <c r="C14" i="4"/>
  <c r="C15" i="4"/>
  <c r="E15" i="4" s="1"/>
  <c r="C16" i="4"/>
  <c r="C17" i="4"/>
  <c r="C18" i="4"/>
  <c r="C19" i="4"/>
  <c r="C20" i="4"/>
  <c r="C21" i="4"/>
  <c r="C22" i="4"/>
  <c r="C23" i="4"/>
  <c r="E23" i="4" s="1"/>
  <c r="C24" i="4"/>
  <c r="C25" i="4"/>
  <c r="C26" i="4"/>
  <c r="C27" i="4"/>
  <c r="C28" i="4"/>
  <c r="C29" i="4"/>
  <c r="C30" i="4"/>
  <c r="C31" i="4"/>
  <c r="E31" i="4" s="1"/>
  <c r="C32" i="4"/>
  <c r="C33" i="4"/>
  <c r="C34" i="4"/>
  <c r="C35" i="4"/>
  <c r="C36" i="4"/>
  <c r="C37" i="4"/>
  <c r="C38" i="4"/>
  <c r="C39" i="4"/>
  <c r="E39" i="4" s="1"/>
  <c r="C40" i="4"/>
  <c r="C41" i="4"/>
  <c r="C42" i="4"/>
  <c r="C43" i="4"/>
  <c r="C44" i="4"/>
  <c r="C45" i="4"/>
  <c r="C46" i="4"/>
  <c r="C47" i="4"/>
  <c r="E47" i="4" s="1"/>
  <c r="C48" i="4"/>
  <c r="C49" i="4"/>
  <c r="C50" i="4"/>
  <c r="C51" i="4"/>
  <c r="C52" i="4"/>
  <c r="C53" i="4"/>
  <c r="C54" i="4"/>
  <c r="C55" i="4"/>
  <c r="E55" i="4" s="1"/>
  <c r="C56" i="4"/>
  <c r="C57" i="4"/>
  <c r="C58" i="4"/>
  <c r="C59" i="4"/>
  <c r="C60" i="4"/>
  <c r="C61" i="4"/>
  <c r="C62" i="4"/>
  <c r="C63" i="4"/>
  <c r="E63" i="4" s="1"/>
  <c r="C64" i="4"/>
  <c r="C65" i="4"/>
  <c r="C66" i="4"/>
  <c r="C67" i="4"/>
  <c r="C68" i="4"/>
  <c r="C69" i="4"/>
  <c r="C70" i="4"/>
  <c r="C71" i="4"/>
  <c r="E71" i="4" s="1"/>
  <c r="C72" i="4"/>
  <c r="C73" i="4"/>
  <c r="C74" i="4"/>
  <c r="C75" i="4"/>
  <c r="C76" i="4"/>
  <c r="C77" i="4"/>
  <c r="C78" i="4"/>
  <c r="C79" i="4"/>
  <c r="E79" i="4" s="1"/>
  <c r="C80" i="4"/>
  <c r="C81" i="4"/>
  <c r="C82" i="4"/>
  <c r="C83" i="4"/>
  <c r="C84" i="4"/>
  <c r="C85" i="4"/>
  <c r="C86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4" i="4"/>
  <c r="C3" i="4"/>
  <c r="B24" i="18"/>
  <c r="C24" i="18"/>
  <c r="B25" i="18"/>
  <c r="C25" i="18"/>
  <c r="B26" i="18"/>
  <c r="C26" i="18"/>
  <c r="B27" i="18"/>
  <c r="C27" i="18"/>
  <c r="B28" i="18"/>
  <c r="C28" i="18"/>
  <c r="C23" i="18"/>
  <c r="B23" i="18"/>
  <c r="B14" i="18"/>
  <c r="C14" i="18"/>
  <c r="B15" i="18"/>
  <c r="C15" i="18"/>
  <c r="B16" i="18"/>
  <c r="C16" i="18"/>
  <c r="B17" i="18"/>
  <c r="C17" i="18"/>
  <c r="B18" i="18"/>
  <c r="C18" i="18"/>
  <c r="C13" i="18"/>
  <c r="B13" i="18"/>
  <c r="B4" i="18"/>
  <c r="C4" i="18"/>
  <c r="B5" i="18"/>
  <c r="C5" i="18"/>
  <c r="B6" i="18"/>
  <c r="C6" i="18"/>
  <c r="B7" i="18"/>
  <c r="C7" i="18"/>
  <c r="B8" i="18"/>
  <c r="C8" i="18"/>
  <c r="C3" i="18"/>
  <c r="B3" i="18"/>
  <c r="A28" i="18"/>
  <c r="A27" i="18"/>
  <c r="A26" i="18"/>
  <c r="A25" i="18"/>
  <c r="A24" i="18"/>
  <c r="A23" i="18"/>
  <c r="A18" i="18"/>
  <c r="A17" i="18"/>
  <c r="A16" i="18"/>
  <c r="A15" i="18"/>
  <c r="A14" i="18"/>
  <c r="A13" i="18"/>
  <c r="A8" i="18"/>
  <c r="A11" i="5" s="1"/>
  <c r="A7" i="18"/>
  <c r="A10" i="5" s="1"/>
  <c r="A6" i="18"/>
  <c r="A9" i="5" s="1"/>
  <c r="A5" i="18"/>
  <c r="A8" i="5" s="1"/>
  <c r="A4" i="18"/>
  <c r="A7" i="5" s="1"/>
  <c r="A3" i="18"/>
  <c r="A6" i="5" s="1"/>
  <c r="C99" i="16"/>
  <c r="D99" i="16"/>
  <c r="E99" i="16"/>
  <c r="F99" i="16"/>
  <c r="G99" i="16"/>
  <c r="H99" i="16"/>
  <c r="I99" i="16"/>
  <c r="J99" i="16"/>
  <c r="K99" i="16"/>
  <c r="L99" i="16"/>
  <c r="M99" i="16"/>
  <c r="B99" i="16"/>
  <c r="C52" i="16"/>
  <c r="D52" i="16"/>
  <c r="E52" i="16"/>
  <c r="F52" i="16"/>
  <c r="G52" i="16"/>
  <c r="H52" i="16"/>
  <c r="I52" i="16"/>
  <c r="J52" i="16"/>
  <c r="K52" i="16"/>
  <c r="L52" i="16"/>
  <c r="M52" i="16"/>
  <c r="B52" i="16"/>
  <c r="C5" i="16"/>
  <c r="D5" i="16"/>
  <c r="E5" i="16"/>
  <c r="F5" i="16"/>
  <c r="G5" i="16"/>
  <c r="H5" i="16"/>
  <c r="I5" i="16"/>
  <c r="J5" i="16"/>
  <c r="K5" i="16"/>
  <c r="L5" i="16"/>
  <c r="M5" i="16"/>
  <c r="B5" i="16"/>
  <c r="A30" i="29"/>
  <c r="A29" i="29"/>
  <c r="A28" i="29"/>
  <c r="A27" i="29"/>
  <c r="A26" i="29"/>
  <c r="A25" i="29"/>
  <c r="A19" i="29"/>
  <c r="A18" i="29"/>
  <c r="A17" i="29"/>
  <c r="A16" i="29"/>
  <c r="A15" i="29"/>
  <c r="A14" i="29"/>
  <c r="A8" i="29"/>
  <c r="A7" i="29"/>
  <c r="A6" i="29"/>
  <c r="A5" i="29"/>
  <c r="A4" i="29"/>
  <c r="A3" i="29"/>
  <c r="A28" i="28"/>
  <c r="A27" i="28"/>
  <c r="A26" i="28"/>
  <c r="A25" i="28"/>
  <c r="A24" i="28"/>
  <c r="A23" i="28"/>
  <c r="A18" i="28"/>
  <c r="A17" i="28"/>
  <c r="A16" i="28"/>
  <c r="A15" i="28"/>
  <c r="A14" i="28"/>
  <c r="A13" i="28"/>
  <c r="A8" i="28"/>
  <c r="A7" i="28"/>
  <c r="A6" i="28"/>
  <c r="A5" i="28"/>
  <c r="A4" i="28"/>
  <c r="A3" i="28"/>
  <c r="A28" i="27"/>
  <c r="A27" i="27"/>
  <c r="A26" i="27"/>
  <c r="A25" i="27"/>
  <c r="A24" i="27"/>
  <c r="A23" i="27"/>
  <c r="A18" i="27"/>
  <c r="A17" i="27"/>
  <c r="A16" i="27"/>
  <c r="A15" i="27"/>
  <c r="A14" i="27"/>
  <c r="A13" i="27"/>
  <c r="A8" i="27"/>
  <c r="A7" i="27"/>
  <c r="A6" i="27"/>
  <c r="A5" i="27"/>
  <c r="A4" i="27"/>
  <c r="A3" i="27"/>
  <c r="A28" i="25"/>
  <c r="A27" i="25"/>
  <c r="A26" i="25"/>
  <c r="A25" i="25"/>
  <c r="A24" i="25"/>
  <c r="A23" i="25"/>
  <c r="A18" i="25"/>
  <c r="A17" i="25"/>
  <c r="A16" i="25"/>
  <c r="A15" i="25"/>
  <c r="A14" i="25"/>
  <c r="A13" i="25"/>
  <c r="A8" i="25"/>
  <c r="A7" i="25"/>
  <c r="A6" i="25"/>
  <c r="A5" i="25"/>
  <c r="D2" i="26" s="1"/>
  <c r="A4" i="25"/>
  <c r="C2" i="26" s="1"/>
  <c r="A3" i="25"/>
  <c r="A33" i="22"/>
  <c r="A32" i="22"/>
  <c r="A31" i="22"/>
  <c r="A30" i="22"/>
  <c r="A29" i="22"/>
  <c r="A28" i="22"/>
  <c r="A21" i="22"/>
  <c r="A20" i="22"/>
  <c r="A19" i="22"/>
  <c r="A18" i="22"/>
  <c r="A17" i="22"/>
  <c r="A16" i="22"/>
  <c r="A9" i="22"/>
  <c r="A8" i="22"/>
  <c r="A7" i="22"/>
  <c r="A6" i="22"/>
  <c r="A5" i="22"/>
  <c r="A4" i="22"/>
  <c r="A30" i="21"/>
  <c r="A29" i="21"/>
  <c r="A28" i="21"/>
  <c r="A27" i="21"/>
  <c r="A26" i="21"/>
  <c r="A25" i="21"/>
  <c r="A19" i="21"/>
  <c r="A18" i="21"/>
  <c r="A17" i="21"/>
  <c r="A16" i="21"/>
  <c r="A15" i="21"/>
  <c r="A14" i="21"/>
  <c r="A8" i="21"/>
  <c r="A7" i="21"/>
  <c r="A6" i="21"/>
  <c r="A5" i="21"/>
  <c r="A4" i="21"/>
  <c r="A3" i="21"/>
  <c r="A33" i="20"/>
  <c r="A32" i="20"/>
  <c r="A31" i="20"/>
  <c r="A30" i="20"/>
  <c r="A29" i="20"/>
  <c r="A28" i="20"/>
  <c r="A21" i="20"/>
  <c r="A20" i="20"/>
  <c r="A19" i="20"/>
  <c r="A18" i="20"/>
  <c r="A17" i="20"/>
  <c r="A16" i="20"/>
  <c r="A9" i="20"/>
  <c r="A8" i="20"/>
  <c r="A7" i="20"/>
  <c r="A6" i="20"/>
  <c r="A5" i="20"/>
  <c r="A4" i="20"/>
  <c r="A16" i="13"/>
  <c r="A34" i="13" s="1"/>
  <c r="A14" i="13"/>
  <c r="A32" i="13" s="1"/>
  <c r="A12" i="13"/>
  <c r="A13" i="14" s="1"/>
  <c r="A10" i="13"/>
  <c r="A46" i="13" s="1"/>
  <c r="A8" i="13"/>
  <c r="A9" i="6" s="1"/>
  <c r="A6" i="13"/>
  <c r="A4" i="6" s="1"/>
  <c r="C98" i="16"/>
  <c r="D98" i="16"/>
  <c r="E98" i="16"/>
  <c r="F98" i="16"/>
  <c r="G98" i="16"/>
  <c r="H98" i="16"/>
  <c r="I98" i="16"/>
  <c r="J98" i="16"/>
  <c r="K98" i="16"/>
  <c r="L98" i="16"/>
  <c r="M98" i="16"/>
  <c r="B98" i="16"/>
  <c r="C51" i="16"/>
  <c r="D51" i="16"/>
  <c r="E51" i="16"/>
  <c r="F51" i="16"/>
  <c r="G51" i="16"/>
  <c r="H51" i="16"/>
  <c r="I51" i="16"/>
  <c r="J51" i="16"/>
  <c r="K51" i="16"/>
  <c r="L51" i="16"/>
  <c r="M51" i="16"/>
  <c r="B51" i="16"/>
  <c r="C4" i="16"/>
  <c r="C4" i="3" s="1"/>
  <c r="D4" i="16"/>
  <c r="D4" i="3" s="1"/>
  <c r="E4" i="16"/>
  <c r="E4" i="3" s="1"/>
  <c r="F4" i="16"/>
  <c r="F4" i="3" s="1"/>
  <c r="G4" i="16"/>
  <c r="G4" i="3" s="1"/>
  <c r="H4" i="16"/>
  <c r="H4" i="3" s="1"/>
  <c r="I4" i="16"/>
  <c r="I4" i="3" s="1"/>
  <c r="J4" i="16"/>
  <c r="J4" i="3" s="1"/>
  <c r="K4" i="16"/>
  <c r="K4" i="3" s="1"/>
  <c r="L4" i="16"/>
  <c r="L4" i="3" s="1"/>
  <c r="M4" i="16"/>
  <c r="M4" i="3" s="1"/>
  <c r="B4" i="16"/>
  <c r="B4" i="3" s="1"/>
  <c r="A69" i="31"/>
  <c r="A70" i="31"/>
  <c r="A71" i="31"/>
  <c r="A72" i="31"/>
  <c r="A73" i="31"/>
  <c r="A74" i="31"/>
  <c r="A75" i="31"/>
  <c r="A76" i="31"/>
  <c r="A77" i="31"/>
  <c r="A68" i="31"/>
  <c r="A4" i="4"/>
  <c r="A5" i="4"/>
  <c r="A6" i="4"/>
  <c r="A8" i="4"/>
  <c r="A9" i="4"/>
  <c r="A10" i="4"/>
  <c r="A11" i="4"/>
  <c r="A13" i="4"/>
  <c r="A14" i="4"/>
  <c r="A15" i="4"/>
  <c r="A17" i="4"/>
  <c r="A18" i="4"/>
  <c r="A19" i="4"/>
  <c r="A20" i="4"/>
  <c r="A21" i="4"/>
  <c r="A22" i="4"/>
  <c r="A24" i="4"/>
  <c r="A25" i="4"/>
  <c r="A26" i="4"/>
  <c r="A27" i="4"/>
  <c r="A28" i="4"/>
  <c r="A30" i="4"/>
  <c r="A31" i="4"/>
  <c r="A32" i="4"/>
  <c r="A34" i="4"/>
  <c r="A36" i="4"/>
  <c r="A37" i="4"/>
  <c r="A38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7" i="4"/>
  <c r="A68" i="4"/>
  <c r="A70" i="4"/>
  <c r="A72" i="4"/>
  <c r="A73" i="4"/>
  <c r="A74" i="4"/>
  <c r="A75" i="4"/>
  <c r="A77" i="4"/>
  <c r="A78" i="4"/>
  <c r="A79" i="4"/>
  <c r="A80" i="4"/>
  <c r="A82" i="4"/>
  <c r="A83" i="4"/>
  <c r="A85" i="4"/>
  <c r="A86" i="4"/>
  <c r="E6" i="1"/>
  <c r="E86" i="1"/>
  <c r="E85" i="1"/>
  <c r="E83" i="1"/>
  <c r="E82" i="1"/>
  <c r="E80" i="1"/>
  <c r="E78" i="1"/>
  <c r="E77" i="1"/>
  <c r="E5" i="1"/>
  <c r="E8" i="1"/>
  <c r="E9" i="1"/>
  <c r="E10" i="1"/>
  <c r="E11" i="1"/>
  <c r="E13" i="1"/>
  <c r="E14" i="1"/>
  <c r="E15" i="1"/>
  <c r="E17" i="1"/>
  <c r="E18" i="1"/>
  <c r="E19" i="1"/>
  <c r="E20" i="1"/>
  <c r="E21" i="1"/>
  <c r="E22" i="1"/>
  <c r="E24" i="1"/>
  <c r="E25" i="1"/>
  <c r="E26" i="1"/>
  <c r="E27" i="1"/>
  <c r="E28" i="1"/>
  <c r="E30" i="1"/>
  <c r="E31" i="1"/>
  <c r="E32" i="1"/>
  <c r="E34" i="1"/>
  <c r="E36" i="1"/>
  <c r="E37" i="1"/>
  <c r="E38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7" i="1"/>
  <c r="E68" i="1"/>
  <c r="E72" i="1"/>
  <c r="E73" i="1"/>
  <c r="E74" i="1"/>
  <c r="E75" i="1"/>
  <c r="E4" i="1"/>
  <c r="B36" i="34"/>
  <c r="B35" i="34"/>
  <c r="B34" i="34"/>
  <c r="B33" i="34"/>
  <c r="B32" i="34"/>
  <c r="B31" i="34"/>
  <c r="B30" i="34"/>
  <c r="A36" i="34"/>
  <c r="A35" i="34"/>
  <c r="A34" i="34"/>
  <c r="A33" i="34"/>
  <c r="A32" i="34"/>
  <c r="A31" i="34"/>
  <c r="A30" i="34"/>
  <c r="B23" i="34"/>
  <c r="B22" i="34"/>
  <c r="B21" i="34"/>
  <c r="B20" i="34"/>
  <c r="B19" i="34"/>
  <c r="B18" i="34"/>
  <c r="B17" i="34"/>
  <c r="A23" i="34"/>
  <c r="A22" i="34"/>
  <c r="A21" i="34"/>
  <c r="A20" i="34"/>
  <c r="A19" i="34"/>
  <c r="A18" i="34"/>
  <c r="A17" i="34"/>
  <c r="B4" i="34"/>
  <c r="B5" i="34"/>
  <c r="B6" i="34"/>
  <c r="B7" i="34"/>
  <c r="B8" i="34"/>
  <c r="B9" i="34"/>
  <c r="B10" i="34"/>
  <c r="A10" i="34"/>
  <c r="A9" i="34"/>
  <c r="A8" i="34"/>
  <c r="A7" i="34"/>
  <c r="A6" i="34"/>
  <c r="A5" i="34"/>
  <c r="A4" i="34"/>
  <c r="A27" i="23"/>
  <c r="A26" i="23"/>
  <c r="A25" i="23"/>
  <c r="A24" i="23"/>
  <c r="A17" i="23"/>
  <c r="A16" i="23"/>
  <c r="A15" i="23"/>
  <c r="A14" i="23"/>
  <c r="A7" i="23"/>
  <c r="A6" i="23"/>
  <c r="A5" i="23"/>
  <c r="A4" i="23"/>
  <c r="C142" i="31"/>
  <c r="D142" i="31" s="1"/>
  <c r="C141" i="31"/>
  <c r="D141" i="31" s="1"/>
  <c r="E141" i="31" s="1"/>
  <c r="F141" i="31" s="1"/>
  <c r="G141" i="31" s="1"/>
  <c r="H141" i="31" s="1"/>
  <c r="I141" i="31" s="1"/>
  <c r="J141" i="31" s="1"/>
  <c r="K141" i="31" s="1"/>
  <c r="L141" i="31" s="1"/>
  <c r="M141" i="31" s="1"/>
  <c r="M22" i="34" s="1"/>
  <c r="C140" i="31"/>
  <c r="C34" i="34" s="1"/>
  <c r="C139" i="31"/>
  <c r="D139" i="31" s="1"/>
  <c r="E139" i="31" s="1"/>
  <c r="F139" i="31" s="1"/>
  <c r="G139" i="31" s="1"/>
  <c r="H139" i="31" s="1"/>
  <c r="I139" i="31" s="1"/>
  <c r="J139" i="31" s="1"/>
  <c r="K139" i="31" s="1"/>
  <c r="L139" i="31" s="1"/>
  <c r="M139" i="31" s="1"/>
  <c r="M7" i="34" s="1"/>
  <c r="C138" i="31"/>
  <c r="D138" i="31" s="1"/>
  <c r="C137" i="31"/>
  <c r="C5" i="34" s="1"/>
  <c r="C136" i="31"/>
  <c r="D136" i="31" s="1"/>
  <c r="E136" i="31" s="1"/>
  <c r="F136" i="31" s="1"/>
  <c r="G136" i="31" s="1"/>
  <c r="H136" i="31" s="1"/>
  <c r="I136" i="31" s="1"/>
  <c r="J136" i="31" s="1"/>
  <c r="K136" i="31" s="1"/>
  <c r="L136" i="31" s="1"/>
  <c r="M136" i="31" s="1"/>
  <c r="M4" i="34" s="1"/>
  <c r="B27" i="23"/>
  <c r="B26" i="23"/>
  <c r="B25" i="23"/>
  <c r="B24" i="23"/>
  <c r="B17" i="23"/>
  <c r="B16" i="23"/>
  <c r="B15" i="23"/>
  <c r="B14" i="23"/>
  <c r="B7" i="23"/>
  <c r="B6" i="23"/>
  <c r="B5" i="23"/>
  <c r="B4" i="23"/>
  <c r="C135" i="31"/>
  <c r="C27" i="23" s="1"/>
  <c r="C134" i="31"/>
  <c r="D134" i="31" s="1"/>
  <c r="E134" i="31" s="1"/>
  <c r="F134" i="31" s="1"/>
  <c r="G134" i="31" s="1"/>
  <c r="H134" i="31" s="1"/>
  <c r="I134" i="31" s="1"/>
  <c r="J134" i="31" s="1"/>
  <c r="K134" i="31" s="1"/>
  <c r="L134" i="31" s="1"/>
  <c r="M134" i="31" s="1"/>
  <c r="M6" i="23" s="1"/>
  <c r="C133" i="31"/>
  <c r="D133" i="31" s="1"/>
  <c r="E133" i="31" s="1"/>
  <c r="F133" i="31" s="1"/>
  <c r="G133" i="31" s="1"/>
  <c r="H133" i="31" s="1"/>
  <c r="I133" i="31" s="1"/>
  <c r="J133" i="31" s="1"/>
  <c r="K133" i="31" s="1"/>
  <c r="L133" i="31" s="1"/>
  <c r="M133" i="31" s="1"/>
  <c r="M5" i="23" s="1"/>
  <c r="C132" i="31"/>
  <c r="D132" i="31" s="1"/>
  <c r="E132" i="31" s="1"/>
  <c r="F132" i="31" s="1"/>
  <c r="G132" i="31" s="1"/>
  <c r="H132" i="31" s="1"/>
  <c r="I132" i="31" s="1"/>
  <c r="J132" i="31" s="1"/>
  <c r="K132" i="31" s="1"/>
  <c r="L132" i="31" s="1"/>
  <c r="M132" i="31" s="1"/>
  <c r="M4" i="23" s="1"/>
  <c r="N33" i="22"/>
  <c r="N21" i="22"/>
  <c r="E119" i="31"/>
  <c r="E120" i="31"/>
  <c r="E118" i="31"/>
  <c r="B119" i="31"/>
  <c r="B120" i="31"/>
  <c r="B118" i="31"/>
  <c r="C65" i="14"/>
  <c r="D65" i="14"/>
  <c r="E65" i="14"/>
  <c r="F65" i="14"/>
  <c r="G65" i="14"/>
  <c r="H65" i="14"/>
  <c r="I65" i="14"/>
  <c r="J65" i="14"/>
  <c r="K65" i="14"/>
  <c r="L65" i="14"/>
  <c r="M65" i="14"/>
  <c r="C41" i="14"/>
  <c r="D41" i="14"/>
  <c r="E41" i="14"/>
  <c r="F41" i="14"/>
  <c r="G41" i="14"/>
  <c r="H41" i="14"/>
  <c r="I41" i="14"/>
  <c r="J41" i="14"/>
  <c r="K41" i="14"/>
  <c r="L41" i="14"/>
  <c r="M41" i="14"/>
  <c r="C17" i="14"/>
  <c r="D17" i="14"/>
  <c r="E17" i="14"/>
  <c r="F17" i="14"/>
  <c r="G17" i="14"/>
  <c r="H17" i="14"/>
  <c r="I17" i="14"/>
  <c r="J17" i="14"/>
  <c r="K17" i="14"/>
  <c r="L17" i="14"/>
  <c r="M17" i="14"/>
  <c r="M68" i="14"/>
  <c r="L68" i="14"/>
  <c r="K68" i="14"/>
  <c r="J68" i="14"/>
  <c r="I68" i="14"/>
  <c r="H68" i="14"/>
  <c r="G68" i="14"/>
  <c r="F68" i="14"/>
  <c r="E68" i="14"/>
  <c r="D68" i="14"/>
  <c r="C68" i="14"/>
  <c r="B68" i="14"/>
  <c r="B65" i="14"/>
  <c r="M62" i="14"/>
  <c r="L62" i="14"/>
  <c r="K62" i="14"/>
  <c r="J62" i="14"/>
  <c r="I62" i="14"/>
  <c r="H62" i="14"/>
  <c r="G62" i="14"/>
  <c r="F62" i="14"/>
  <c r="E62" i="14"/>
  <c r="D62" i="14"/>
  <c r="C62" i="14"/>
  <c r="B62" i="14"/>
  <c r="M59" i="14"/>
  <c r="L59" i="14"/>
  <c r="K59" i="14"/>
  <c r="J59" i="14"/>
  <c r="I59" i="14"/>
  <c r="H59" i="14"/>
  <c r="G59" i="14"/>
  <c r="F59" i="14"/>
  <c r="E59" i="14"/>
  <c r="D59" i="14"/>
  <c r="C59" i="14"/>
  <c r="B59" i="14"/>
  <c r="M56" i="14"/>
  <c r="L56" i="14"/>
  <c r="K56" i="14"/>
  <c r="J56" i="14"/>
  <c r="I56" i="14"/>
  <c r="H56" i="14"/>
  <c r="G56" i="14"/>
  <c r="F56" i="14"/>
  <c r="E56" i="14"/>
  <c r="D56" i="14"/>
  <c r="C56" i="14"/>
  <c r="B56" i="14"/>
  <c r="M53" i="14"/>
  <c r="L53" i="14"/>
  <c r="K53" i="14"/>
  <c r="J53" i="14"/>
  <c r="I53" i="14"/>
  <c r="H53" i="14"/>
  <c r="G53" i="14"/>
  <c r="F53" i="14"/>
  <c r="E53" i="14"/>
  <c r="D53" i="14"/>
  <c r="C53" i="14"/>
  <c r="B53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B41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C20" i="14"/>
  <c r="D20" i="14"/>
  <c r="E20" i="14"/>
  <c r="F20" i="14"/>
  <c r="G20" i="14"/>
  <c r="H20" i="14"/>
  <c r="I20" i="14"/>
  <c r="J20" i="14"/>
  <c r="K20" i="14"/>
  <c r="L20" i="14"/>
  <c r="M20" i="14"/>
  <c r="B20" i="14"/>
  <c r="B17" i="14"/>
  <c r="C11" i="14"/>
  <c r="D11" i="14"/>
  <c r="E11" i="14"/>
  <c r="F11" i="14"/>
  <c r="G11" i="14"/>
  <c r="H11" i="14"/>
  <c r="I11" i="14"/>
  <c r="J11" i="14"/>
  <c r="K11" i="14"/>
  <c r="L11" i="14"/>
  <c r="M11" i="14"/>
  <c r="B11" i="14"/>
  <c r="C14" i="14"/>
  <c r="D14" i="14"/>
  <c r="E14" i="14"/>
  <c r="F14" i="14"/>
  <c r="G14" i="14"/>
  <c r="H14" i="14"/>
  <c r="I14" i="14"/>
  <c r="J14" i="14"/>
  <c r="K14" i="14"/>
  <c r="L14" i="14"/>
  <c r="M14" i="14"/>
  <c r="B14" i="14"/>
  <c r="C8" i="14"/>
  <c r="D8" i="14"/>
  <c r="E8" i="14"/>
  <c r="F8" i="14"/>
  <c r="G8" i="14"/>
  <c r="H8" i="14"/>
  <c r="I8" i="14"/>
  <c r="J8" i="14"/>
  <c r="K8" i="14"/>
  <c r="L8" i="14"/>
  <c r="M8" i="14"/>
  <c r="B8" i="14"/>
  <c r="C5" i="14"/>
  <c r="D5" i="14"/>
  <c r="E5" i="14"/>
  <c r="F5" i="14"/>
  <c r="G5" i="14"/>
  <c r="H5" i="14"/>
  <c r="I5" i="14"/>
  <c r="J5" i="14"/>
  <c r="K5" i="14"/>
  <c r="L5" i="14"/>
  <c r="M5" i="14"/>
  <c r="B5" i="14"/>
  <c r="C64" i="31"/>
  <c r="D64" i="31"/>
  <c r="E64" i="31"/>
  <c r="F64" i="31"/>
  <c r="G64" i="31"/>
  <c r="H64" i="31"/>
  <c r="I64" i="31"/>
  <c r="J64" i="31"/>
  <c r="K64" i="31"/>
  <c r="L64" i="31"/>
  <c r="M64" i="31"/>
  <c r="B64" i="31"/>
  <c r="E86" i="4" l="1"/>
  <c r="F86" i="4" s="1"/>
  <c r="E78" i="4"/>
  <c r="F78" i="4" s="1"/>
  <c r="E70" i="4"/>
  <c r="E62" i="4"/>
  <c r="F62" i="4" s="1"/>
  <c r="E54" i="4"/>
  <c r="F54" i="4" s="1"/>
  <c r="E46" i="4"/>
  <c r="F46" i="4" s="1"/>
  <c r="E38" i="4"/>
  <c r="F38" i="4" s="1"/>
  <c r="E30" i="4"/>
  <c r="F30" i="4" s="1"/>
  <c r="E22" i="4"/>
  <c r="F22" i="4" s="1"/>
  <c r="E14" i="4"/>
  <c r="F14" i="4" s="1"/>
  <c r="E6" i="4"/>
  <c r="E85" i="4"/>
  <c r="F85" i="4" s="1"/>
  <c r="E77" i="4"/>
  <c r="F77" i="4" s="1"/>
  <c r="E69" i="4"/>
  <c r="E61" i="4"/>
  <c r="F61" i="4" s="1"/>
  <c r="E53" i="4"/>
  <c r="F53" i="4" s="1"/>
  <c r="E45" i="4"/>
  <c r="F45" i="4" s="1"/>
  <c r="E37" i="4"/>
  <c r="F37" i="4" s="1"/>
  <c r="E29" i="4"/>
  <c r="E21" i="4"/>
  <c r="F21" i="4" s="1"/>
  <c r="E13" i="4"/>
  <c r="F13" i="4" s="1"/>
  <c r="E5" i="4"/>
  <c r="F5" i="4" s="1"/>
  <c r="E74" i="4"/>
  <c r="F74" i="4" s="1"/>
  <c r="E18" i="4"/>
  <c r="F18" i="4" s="1"/>
  <c r="E66" i="4"/>
  <c r="E50" i="4"/>
  <c r="F50" i="4" s="1"/>
  <c r="E10" i="4"/>
  <c r="F10" i="4" s="1"/>
  <c r="E4" i="4"/>
  <c r="E82" i="4"/>
  <c r="F82" i="4" s="1"/>
  <c r="E58" i="4"/>
  <c r="F58" i="4" s="1"/>
  <c r="E42" i="4"/>
  <c r="F42" i="4" s="1"/>
  <c r="E26" i="4"/>
  <c r="F26" i="4" s="1"/>
  <c r="E84" i="4"/>
  <c r="E76" i="4"/>
  <c r="E68" i="4"/>
  <c r="F68" i="4" s="1"/>
  <c r="E60" i="4"/>
  <c r="E52" i="4"/>
  <c r="F52" i="4" s="1"/>
  <c r="E44" i="4"/>
  <c r="F44" i="4" s="1"/>
  <c r="E36" i="4"/>
  <c r="F36" i="4" s="1"/>
  <c r="E28" i="4"/>
  <c r="F28" i="4" s="1"/>
  <c r="E20" i="4"/>
  <c r="F20" i="4" s="1"/>
  <c r="E12" i="4"/>
  <c r="E83" i="4"/>
  <c r="F83" i="4" s="1"/>
  <c r="E75" i="4"/>
  <c r="F75" i="4" s="1"/>
  <c r="E67" i="4"/>
  <c r="F67" i="4" s="1"/>
  <c r="E59" i="4"/>
  <c r="F59" i="4" s="1"/>
  <c r="E51" i="4"/>
  <c r="F51" i="4" s="1"/>
  <c r="E43" i="4"/>
  <c r="F43" i="4" s="1"/>
  <c r="E35" i="4"/>
  <c r="E27" i="4"/>
  <c r="F27" i="4" s="1"/>
  <c r="E19" i="4"/>
  <c r="F19" i="4" s="1"/>
  <c r="E11" i="4"/>
  <c r="F11" i="4" s="1"/>
  <c r="E81" i="4"/>
  <c r="E73" i="4"/>
  <c r="F73" i="4" s="1"/>
  <c r="E65" i="4"/>
  <c r="F65" i="4" s="1"/>
  <c r="E57" i="4"/>
  <c r="F57" i="4" s="1"/>
  <c r="E49" i="4"/>
  <c r="F49" i="4" s="1"/>
  <c r="E41" i="4"/>
  <c r="F41" i="4" s="1"/>
  <c r="E33" i="4"/>
  <c r="E25" i="4"/>
  <c r="E17" i="4"/>
  <c r="F17" i="4" s="1"/>
  <c r="E9" i="4"/>
  <c r="F9" i="4" s="1"/>
  <c r="E80" i="4"/>
  <c r="F80" i="4" s="1"/>
  <c r="E72" i="4"/>
  <c r="F72" i="4" s="1"/>
  <c r="E64" i="4"/>
  <c r="F64" i="4" s="1"/>
  <c r="E56" i="4"/>
  <c r="E48" i="4"/>
  <c r="F48" i="4" s="1"/>
  <c r="E40" i="4"/>
  <c r="F40" i="4" s="1"/>
  <c r="E32" i="4"/>
  <c r="F32" i="4" s="1"/>
  <c r="E24" i="4"/>
  <c r="F24" i="4" s="1"/>
  <c r="E16" i="4"/>
  <c r="E8" i="4"/>
  <c r="F8" i="4" s="1"/>
  <c r="E34" i="4"/>
  <c r="F34" i="4" s="1"/>
  <c r="F79" i="4"/>
  <c r="F6" i="4"/>
  <c r="A10" i="14"/>
  <c r="A10" i="8" s="1"/>
  <c r="A29" i="6"/>
  <c r="A107" i="6" s="1"/>
  <c r="A50" i="13"/>
  <c r="A52" i="13"/>
  <c r="A24" i="13"/>
  <c r="A16" i="14"/>
  <c r="A40" i="14" s="1"/>
  <c r="E22" i="34"/>
  <c r="A28" i="13"/>
  <c r="A19" i="14"/>
  <c r="A67" i="14" s="1"/>
  <c r="A30" i="13"/>
  <c r="A14" i="6"/>
  <c r="A53" i="6" s="1"/>
  <c r="A24" i="6"/>
  <c r="A24" i="33" s="1"/>
  <c r="A13" i="8"/>
  <c r="A37" i="14"/>
  <c r="A61" i="14"/>
  <c r="A48" i="6"/>
  <c r="A87" i="6"/>
  <c r="A9" i="33"/>
  <c r="A82" i="6"/>
  <c r="A43" i="6"/>
  <c r="A4" i="33"/>
  <c r="A26" i="13"/>
  <c r="A48" i="13"/>
  <c r="A19" i="6"/>
  <c r="G9" i="34"/>
  <c r="A4" i="14"/>
  <c r="A7" i="14"/>
  <c r="A29" i="33"/>
  <c r="A42" i="13"/>
  <c r="D7" i="34"/>
  <c r="A44" i="13"/>
  <c r="F70" i="4"/>
  <c r="F9" i="34"/>
  <c r="D22" i="34"/>
  <c r="E9" i="34"/>
  <c r="C21" i="34"/>
  <c r="D9" i="34"/>
  <c r="B11" i="34"/>
  <c r="C26" i="30" s="1"/>
  <c r="L17" i="34"/>
  <c r="M35" i="34"/>
  <c r="D137" i="31"/>
  <c r="D31" i="34" s="1"/>
  <c r="K4" i="34"/>
  <c r="G17" i="34"/>
  <c r="K35" i="34"/>
  <c r="H4" i="34"/>
  <c r="E35" i="34"/>
  <c r="L7" i="34"/>
  <c r="C4" i="34"/>
  <c r="L22" i="34"/>
  <c r="D35" i="34"/>
  <c r="M9" i="34"/>
  <c r="G7" i="34"/>
  <c r="F22" i="34"/>
  <c r="C35" i="34"/>
  <c r="E142" i="31"/>
  <c r="E10" i="34" s="1"/>
  <c r="D36" i="34"/>
  <c r="D23" i="34"/>
  <c r="C10" i="34"/>
  <c r="C23" i="34"/>
  <c r="M33" i="34"/>
  <c r="D140" i="31"/>
  <c r="D21" i="34" s="1"/>
  <c r="C9" i="34"/>
  <c r="K20" i="34"/>
  <c r="D17" i="34"/>
  <c r="L35" i="34"/>
  <c r="E33" i="34"/>
  <c r="C18" i="34"/>
  <c r="L9" i="34"/>
  <c r="C8" i="34"/>
  <c r="H22" i="34"/>
  <c r="C20" i="34"/>
  <c r="G35" i="34"/>
  <c r="C31" i="34"/>
  <c r="C36" i="34"/>
  <c r="E2" i="26"/>
  <c r="E11" i="26" s="1"/>
  <c r="F20" i="34"/>
  <c r="K9" i="34"/>
  <c r="G22" i="34"/>
  <c r="F35" i="34"/>
  <c r="F30" i="34"/>
  <c r="D11" i="26"/>
  <c r="D20" i="26"/>
  <c r="D6" i="34"/>
  <c r="D32" i="34"/>
  <c r="E138" i="31"/>
  <c r="D19" i="34"/>
  <c r="C11" i="26"/>
  <c r="C20" i="26"/>
  <c r="A6" i="30"/>
  <c r="A10" i="30"/>
  <c r="F7" i="34"/>
  <c r="J4" i="34"/>
  <c r="M20" i="34"/>
  <c r="E20" i="34"/>
  <c r="F17" i="34"/>
  <c r="L33" i="34"/>
  <c r="D33" i="34"/>
  <c r="M30" i="34"/>
  <c r="E30" i="34"/>
  <c r="F2" i="26"/>
  <c r="E7" i="34"/>
  <c r="I4" i="34"/>
  <c r="L20" i="34"/>
  <c r="D20" i="34"/>
  <c r="M17" i="34"/>
  <c r="E17" i="34"/>
  <c r="K33" i="34"/>
  <c r="C33" i="34"/>
  <c r="L30" i="34"/>
  <c r="D30" i="34"/>
  <c r="G2" i="26"/>
  <c r="C6" i="34"/>
  <c r="J33" i="34"/>
  <c r="K30" i="34"/>
  <c r="C30" i="34"/>
  <c r="K7" i="34"/>
  <c r="K17" i="34"/>
  <c r="J30" i="34"/>
  <c r="K22" i="34"/>
  <c r="C22" i="34"/>
  <c r="I20" i="34"/>
  <c r="J35" i="34"/>
  <c r="H33" i="34"/>
  <c r="C32" i="34"/>
  <c r="I30" i="34"/>
  <c r="B2" i="26"/>
  <c r="I33" i="34"/>
  <c r="J9" i="34"/>
  <c r="J7" i="34"/>
  <c r="I9" i="34"/>
  <c r="I7" i="34"/>
  <c r="E4" i="34"/>
  <c r="J22" i="34"/>
  <c r="H20" i="34"/>
  <c r="C19" i="34"/>
  <c r="I17" i="34"/>
  <c r="I35" i="34"/>
  <c r="G33" i="34"/>
  <c r="H30" i="34"/>
  <c r="C7" i="34"/>
  <c r="G4" i="34"/>
  <c r="J20" i="34"/>
  <c r="C17" i="34"/>
  <c r="F4" i="34"/>
  <c r="J17" i="34"/>
  <c r="D10" i="34"/>
  <c r="H9" i="34"/>
  <c r="H7" i="34"/>
  <c r="L4" i="34"/>
  <c r="D4" i="34"/>
  <c r="I22" i="34"/>
  <c r="G20" i="34"/>
  <c r="H17" i="34"/>
  <c r="H35" i="34"/>
  <c r="F33" i="34"/>
  <c r="G30" i="34"/>
  <c r="F56" i="4"/>
  <c r="F60" i="4"/>
  <c r="F63" i="4"/>
  <c r="F55" i="4"/>
  <c r="F47" i="4"/>
  <c r="F15" i="4"/>
  <c r="F31" i="4"/>
  <c r="F25" i="4"/>
  <c r="B37" i="34"/>
  <c r="B24" i="34"/>
  <c r="F4" i="23"/>
  <c r="I15" i="23"/>
  <c r="I5" i="23"/>
  <c r="G24" i="23"/>
  <c r="J14" i="23"/>
  <c r="D6" i="23"/>
  <c r="E14" i="23"/>
  <c r="M24" i="23"/>
  <c r="J4" i="23"/>
  <c r="K4" i="23"/>
  <c r="D5" i="23"/>
  <c r="M14" i="23"/>
  <c r="C5" i="23"/>
  <c r="L14" i="23"/>
  <c r="D25" i="23"/>
  <c r="K24" i="23"/>
  <c r="C4" i="23"/>
  <c r="D14" i="23"/>
  <c r="H24" i="23"/>
  <c r="H4" i="23"/>
  <c r="K5" i="23"/>
  <c r="M16" i="23"/>
  <c r="E24" i="23"/>
  <c r="L16" i="23"/>
  <c r="J26" i="23"/>
  <c r="J16" i="23"/>
  <c r="I26" i="23"/>
  <c r="L6" i="23"/>
  <c r="F16" i="23"/>
  <c r="H26" i="23"/>
  <c r="I4" i="23"/>
  <c r="I6" i="23"/>
  <c r="D16" i="23"/>
  <c r="C14" i="23"/>
  <c r="G26" i="23"/>
  <c r="H6" i="23"/>
  <c r="J15" i="23"/>
  <c r="E26" i="23"/>
  <c r="G6" i="23"/>
  <c r="C7" i="23"/>
  <c r="C17" i="23"/>
  <c r="D135" i="31"/>
  <c r="D7" i="23" s="1"/>
  <c r="E4" i="23"/>
  <c r="F6" i="23"/>
  <c r="G16" i="23"/>
  <c r="K14" i="23"/>
  <c r="M25" i="23"/>
  <c r="F24" i="23"/>
  <c r="L25" i="23"/>
  <c r="G4" i="23"/>
  <c r="L5" i="23"/>
  <c r="E16" i="23"/>
  <c r="H14" i="23"/>
  <c r="M26" i="23"/>
  <c r="E25" i="23"/>
  <c r="C24" i="23"/>
  <c r="G5" i="23"/>
  <c r="K6" i="23"/>
  <c r="C6" i="23"/>
  <c r="F5" i="23"/>
  <c r="I16" i="23"/>
  <c r="L15" i="23"/>
  <c r="D15" i="23"/>
  <c r="G14" i="23"/>
  <c r="L26" i="23"/>
  <c r="D26" i="23"/>
  <c r="G25" i="23"/>
  <c r="J24" i="23"/>
  <c r="M15" i="23"/>
  <c r="E15" i="23"/>
  <c r="H25" i="23"/>
  <c r="J6" i="23"/>
  <c r="E5" i="23"/>
  <c r="H16" i="23"/>
  <c r="K15" i="23"/>
  <c r="C15" i="23"/>
  <c r="F14" i="23"/>
  <c r="K26" i="23"/>
  <c r="C26" i="23"/>
  <c r="F25" i="23"/>
  <c r="I24" i="23"/>
  <c r="J5" i="23"/>
  <c r="H15" i="23"/>
  <c r="K25" i="23"/>
  <c r="C25" i="23"/>
  <c r="G15" i="23"/>
  <c r="J25" i="23"/>
  <c r="D4" i="23"/>
  <c r="L4" i="23"/>
  <c r="E6" i="23"/>
  <c r="H5" i="23"/>
  <c r="K16" i="23"/>
  <c r="C16" i="23"/>
  <c r="F15" i="23"/>
  <c r="I14" i="23"/>
  <c r="F26" i="23"/>
  <c r="I25" i="23"/>
  <c r="L24" i="23"/>
  <c r="D24" i="23"/>
  <c r="B28" i="23"/>
  <c r="B18" i="23"/>
  <c r="B8" i="23"/>
  <c r="C25" i="30" s="1"/>
  <c r="N9" i="22"/>
  <c r="D29" i="18"/>
  <c r="B29" i="18"/>
  <c r="D19" i="18"/>
  <c r="B19" i="18"/>
  <c r="D9" i="18"/>
  <c r="B9" i="18"/>
  <c r="F4" i="4" l="1"/>
  <c r="F87" i="4" s="1"/>
  <c r="A68" i="6"/>
  <c r="A58" i="14"/>
  <c r="A34" i="14"/>
  <c r="A14" i="33"/>
  <c r="A94" i="33" s="1"/>
  <c r="A92" i="6"/>
  <c r="A64" i="14"/>
  <c r="A43" i="14"/>
  <c r="A19" i="8"/>
  <c r="A16" i="8"/>
  <c r="A102" i="6"/>
  <c r="A63" i="6"/>
  <c r="A4" i="8"/>
  <c r="A28" i="14"/>
  <c r="A52" i="14"/>
  <c r="A69" i="33"/>
  <c r="A109" i="33"/>
  <c r="A49" i="33"/>
  <c r="A89" i="33"/>
  <c r="A7" i="8"/>
  <c r="A31" i="14"/>
  <c r="A55" i="14"/>
  <c r="E20" i="26"/>
  <c r="A104" i="33"/>
  <c r="A64" i="33"/>
  <c r="A58" i="6"/>
  <c r="A97" i="6"/>
  <c r="A19" i="33"/>
  <c r="A44" i="33"/>
  <c r="A84" i="33"/>
  <c r="N17" i="34"/>
  <c r="E137" i="31"/>
  <c r="E18" i="34" s="1"/>
  <c r="D5" i="34"/>
  <c r="D11" i="34" s="1"/>
  <c r="E26" i="30" s="1"/>
  <c r="D18" i="34"/>
  <c r="D24" i="34" s="1"/>
  <c r="C37" i="34"/>
  <c r="E36" i="34"/>
  <c r="E140" i="31"/>
  <c r="F140" i="31" s="1"/>
  <c r="D8" i="34"/>
  <c r="N9" i="34"/>
  <c r="C11" i="34"/>
  <c r="D26" i="30" s="1"/>
  <c r="D34" i="34"/>
  <c r="D37" i="34" s="1"/>
  <c r="A8" i="30"/>
  <c r="A9" i="30"/>
  <c r="N7" i="34"/>
  <c r="N35" i="34"/>
  <c r="F142" i="31"/>
  <c r="E23" i="34"/>
  <c r="N20" i="34"/>
  <c r="F138" i="31"/>
  <c r="E6" i="34"/>
  <c r="E19" i="34"/>
  <c r="E32" i="34"/>
  <c r="G11" i="26"/>
  <c r="G20" i="26"/>
  <c r="A11" i="30"/>
  <c r="N33" i="34"/>
  <c r="N22" i="34"/>
  <c r="B11" i="26"/>
  <c r="B20" i="26"/>
  <c r="N4" i="34"/>
  <c r="N30" i="34"/>
  <c r="C24" i="34"/>
  <c r="F11" i="26"/>
  <c r="F20" i="26"/>
  <c r="N14" i="23"/>
  <c r="C28" i="23"/>
  <c r="N5" i="23"/>
  <c r="N24" i="23"/>
  <c r="N16" i="23"/>
  <c r="D27" i="23"/>
  <c r="D28" i="23" s="1"/>
  <c r="D17" i="23"/>
  <c r="D18" i="23" s="1"/>
  <c r="E135" i="31"/>
  <c r="N26" i="23"/>
  <c r="N25" i="23"/>
  <c r="N15" i="23"/>
  <c r="N6" i="23"/>
  <c r="C18" i="23"/>
  <c r="C8" i="23"/>
  <c r="D25" i="30" s="1"/>
  <c r="B17" i="24" l="1"/>
  <c r="B27" i="24"/>
  <c r="B7" i="24"/>
  <c r="A54" i="33"/>
  <c r="E34" i="34"/>
  <c r="E31" i="34"/>
  <c r="A99" i="33"/>
  <c r="A59" i="33"/>
  <c r="F137" i="31"/>
  <c r="E5" i="34"/>
  <c r="E8" i="34"/>
  <c r="E21" i="34"/>
  <c r="E24" i="34" s="1"/>
  <c r="G142" i="31"/>
  <c r="F10" i="34"/>
  <c r="F36" i="34"/>
  <c r="F23" i="34"/>
  <c r="G140" i="31"/>
  <c r="F8" i="34"/>
  <c r="F34" i="34"/>
  <c r="F21" i="34"/>
  <c r="G138" i="31"/>
  <c r="F6" i="34"/>
  <c r="F19" i="34"/>
  <c r="F32" i="34"/>
  <c r="F135" i="31"/>
  <c r="E27" i="23"/>
  <c r="E7" i="23"/>
  <c r="E17" i="23"/>
  <c r="E18" i="23" s="1"/>
  <c r="D8" i="23"/>
  <c r="E25" i="30" s="1"/>
  <c r="E37" i="34" l="1"/>
  <c r="E11" i="34"/>
  <c r="F26" i="30" s="1"/>
  <c r="G137" i="31"/>
  <c r="F31" i="34"/>
  <c r="F37" i="34" s="1"/>
  <c r="F5" i="34"/>
  <c r="F11" i="34" s="1"/>
  <c r="F18" i="34"/>
  <c r="F24" i="34" s="1"/>
  <c r="H142" i="31"/>
  <c r="G10" i="34"/>
  <c r="G36" i="34"/>
  <c r="G23" i="34"/>
  <c r="H140" i="31"/>
  <c r="G8" i="34"/>
  <c r="G21" i="34"/>
  <c r="G34" i="34"/>
  <c r="H138" i="31"/>
  <c r="G6" i="34"/>
  <c r="G19" i="34"/>
  <c r="G32" i="34"/>
  <c r="E28" i="23"/>
  <c r="G135" i="31"/>
  <c r="F17" i="23"/>
  <c r="F7" i="23"/>
  <c r="F27" i="23"/>
  <c r="F28" i="23" s="1"/>
  <c r="E8" i="23"/>
  <c r="F25" i="30" s="1"/>
  <c r="G18" i="34" l="1"/>
  <c r="G24" i="34" s="1"/>
  <c r="H137" i="31"/>
  <c r="G5" i="34"/>
  <c r="G11" i="34" s="1"/>
  <c r="H26" i="30" s="1"/>
  <c r="G31" i="34"/>
  <c r="G37" i="34" s="1"/>
  <c r="I142" i="31"/>
  <c r="H36" i="34"/>
  <c r="H23" i="34"/>
  <c r="H10" i="34"/>
  <c r="I140" i="31"/>
  <c r="H21" i="34"/>
  <c r="H8" i="34"/>
  <c r="H34" i="34"/>
  <c r="I138" i="31"/>
  <c r="H6" i="34"/>
  <c r="H32" i="34"/>
  <c r="H19" i="34"/>
  <c r="G26" i="30"/>
  <c r="F18" i="23"/>
  <c r="H135" i="31"/>
  <c r="G7" i="23"/>
  <c r="G27" i="23"/>
  <c r="G28" i="23" s="1"/>
  <c r="G17" i="23"/>
  <c r="G18" i="23" s="1"/>
  <c r="F8" i="23"/>
  <c r="G25" i="30" s="1"/>
  <c r="H31" i="34" l="1"/>
  <c r="H37" i="34" s="1"/>
  <c r="H18" i="34"/>
  <c r="H24" i="34" s="1"/>
  <c r="I137" i="31"/>
  <c r="H5" i="34"/>
  <c r="H11" i="34" s="1"/>
  <c r="J142" i="31"/>
  <c r="I23" i="34"/>
  <c r="I10" i="34"/>
  <c r="I36" i="34"/>
  <c r="J140" i="31"/>
  <c r="I21" i="34"/>
  <c r="I8" i="34"/>
  <c r="I34" i="34"/>
  <c r="J138" i="31"/>
  <c r="I32" i="34"/>
  <c r="I6" i="34"/>
  <c r="I19" i="34"/>
  <c r="I135" i="31"/>
  <c r="H7" i="23"/>
  <c r="H27" i="23"/>
  <c r="H28" i="23" s="1"/>
  <c r="H17" i="23"/>
  <c r="H18" i="23" s="1"/>
  <c r="G8" i="23"/>
  <c r="H25" i="30" s="1"/>
  <c r="I5" i="34" l="1"/>
  <c r="I11" i="34" s="1"/>
  <c r="J26" i="30" s="1"/>
  <c r="J137" i="31"/>
  <c r="I18" i="34"/>
  <c r="I24" i="34" s="1"/>
  <c r="I31" i="34"/>
  <c r="I37" i="34" s="1"/>
  <c r="K142" i="31"/>
  <c r="J23" i="34"/>
  <c r="J10" i="34"/>
  <c r="J36" i="34"/>
  <c r="K138" i="31"/>
  <c r="J19" i="34"/>
  <c r="J32" i="34"/>
  <c r="J6" i="34"/>
  <c r="K140" i="31"/>
  <c r="J34" i="34"/>
  <c r="J21" i="34"/>
  <c r="J8" i="34"/>
  <c r="I26" i="30"/>
  <c r="J135" i="31"/>
  <c r="I7" i="23"/>
  <c r="I27" i="23"/>
  <c r="I28" i="23" s="1"/>
  <c r="I17" i="23"/>
  <c r="H8" i="23"/>
  <c r="I25" i="30" s="1"/>
  <c r="J5" i="34" l="1"/>
  <c r="J11" i="34" s="1"/>
  <c r="K26" i="30" s="1"/>
  <c r="K137" i="31"/>
  <c r="J31" i="34"/>
  <c r="J37" i="34" s="1"/>
  <c r="J18" i="34"/>
  <c r="L142" i="31"/>
  <c r="K23" i="34"/>
  <c r="K10" i="34"/>
  <c r="K36" i="34"/>
  <c r="L140" i="31"/>
  <c r="K34" i="34"/>
  <c r="K21" i="34"/>
  <c r="K8" i="34"/>
  <c r="J24" i="34"/>
  <c r="L138" i="31"/>
  <c r="K19" i="34"/>
  <c r="K32" i="34"/>
  <c r="K6" i="34"/>
  <c r="I18" i="23"/>
  <c r="K135" i="31"/>
  <c r="J17" i="23"/>
  <c r="J18" i="23" s="1"/>
  <c r="J27" i="23"/>
  <c r="J7" i="23"/>
  <c r="I8" i="23"/>
  <c r="J25" i="30" s="1"/>
  <c r="K5" i="34" l="1"/>
  <c r="K11" i="34" s="1"/>
  <c r="L26" i="30" s="1"/>
  <c r="K18" i="34"/>
  <c r="K24" i="34" s="1"/>
  <c r="L137" i="31"/>
  <c r="K31" i="34"/>
  <c r="K37" i="34" s="1"/>
  <c r="M142" i="31"/>
  <c r="L23" i="34"/>
  <c r="L36" i="34"/>
  <c r="L10" i="34"/>
  <c r="M138" i="31"/>
  <c r="L6" i="34"/>
  <c r="L19" i="34"/>
  <c r="L32" i="34"/>
  <c r="M140" i="31"/>
  <c r="L21" i="34"/>
  <c r="L8" i="34"/>
  <c r="L34" i="34"/>
  <c r="J28" i="23"/>
  <c r="L135" i="31"/>
  <c r="K27" i="23"/>
  <c r="K28" i="23" s="1"/>
  <c r="K17" i="23"/>
  <c r="K18" i="23" s="1"/>
  <c r="K7" i="23"/>
  <c r="J8" i="23"/>
  <c r="K25" i="30" s="1"/>
  <c r="L18" i="34" l="1"/>
  <c r="L24" i="34" s="1"/>
  <c r="L31" i="34"/>
  <c r="L37" i="34" s="1"/>
  <c r="L5" i="34"/>
  <c r="L11" i="34" s="1"/>
  <c r="M137" i="31"/>
  <c r="M36" i="34"/>
  <c r="N36" i="34" s="1"/>
  <c r="M23" i="34"/>
  <c r="N23" i="34" s="1"/>
  <c r="M10" i="34"/>
  <c r="N10" i="34" s="1"/>
  <c r="M21" i="34"/>
  <c r="N21" i="34" s="1"/>
  <c r="M8" i="34"/>
  <c r="N8" i="34" s="1"/>
  <c r="M34" i="34"/>
  <c r="N34" i="34" s="1"/>
  <c r="M6" i="34"/>
  <c r="M19" i="34"/>
  <c r="M32" i="34"/>
  <c r="M135" i="31"/>
  <c r="L17" i="23"/>
  <c r="L18" i="23" s="1"/>
  <c r="L7" i="23"/>
  <c r="L27" i="23"/>
  <c r="L28" i="23" s="1"/>
  <c r="K8" i="23"/>
  <c r="L25" i="30" s="1"/>
  <c r="M18" i="34" l="1"/>
  <c r="N18" i="34" s="1"/>
  <c r="M5" i="34"/>
  <c r="N5" i="34" s="1"/>
  <c r="M31" i="34"/>
  <c r="N31" i="34" s="1"/>
  <c r="N6" i="34"/>
  <c r="N32" i="34"/>
  <c r="N19" i="34"/>
  <c r="M26" i="30"/>
  <c r="M27" i="23"/>
  <c r="M17" i="23"/>
  <c r="M7" i="23"/>
  <c r="N7" i="23" s="1"/>
  <c r="L8" i="23"/>
  <c r="M25" i="30" s="1"/>
  <c r="M37" i="34" l="1"/>
  <c r="N37" i="34" s="1"/>
  <c r="B26" i="24" s="1"/>
  <c r="M24" i="34"/>
  <c r="N24" i="34" s="1"/>
  <c r="B16" i="24" s="1"/>
  <c r="M11" i="34"/>
  <c r="N26" i="30" s="1"/>
  <c r="O26" i="30" s="1"/>
  <c r="M18" i="23"/>
  <c r="N18" i="23" s="1"/>
  <c r="B15" i="24" s="1"/>
  <c r="N17" i="23"/>
  <c r="M28" i="23"/>
  <c r="N28" i="23" s="1"/>
  <c r="B25" i="24" s="1"/>
  <c r="N27" i="23"/>
  <c r="M8" i="23"/>
  <c r="N4" i="23"/>
  <c r="N11" i="34" l="1"/>
  <c r="B6" i="24" s="1"/>
  <c r="N8" i="23"/>
  <c r="B5" i="24" s="1"/>
  <c r="N25" i="30"/>
  <c r="O25" i="30" s="1"/>
  <c r="A72" i="17"/>
  <c r="A71" i="17"/>
  <c r="A47" i="17"/>
  <c r="A46" i="17"/>
  <c r="A22" i="17"/>
  <c r="A21" i="17"/>
  <c r="B54" i="17"/>
  <c r="B64" i="17" s="1"/>
  <c r="B65" i="17" s="1"/>
  <c r="K29" i="17"/>
  <c r="K46" i="17" s="1"/>
  <c r="K19" i="32" s="1"/>
  <c r="K20" i="32" s="1"/>
  <c r="B4" i="17"/>
  <c r="B22" i="17" s="1"/>
  <c r="B8" i="32" s="1"/>
  <c r="B9" i="32" s="1"/>
  <c r="B29" i="17"/>
  <c r="B46" i="17" s="1"/>
  <c r="B19" i="32" s="1"/>
  <c r="B20" i="32" s="1"/>
  <c r="A67" i="17"/>
  <c r="A63" i="17"/>
  <c r="A59" i="17"/>
  <c r="A55" i="17"/>
  <c r="A42" i="17"/>
  <c r="A38" i="17"/>
  <c r="A34" i="17"/>
  <c r="A30" i="17"/>
  <c r="A17" i="17"/>
  <c r="A13" i="17"/>
  <c r="A9" i="17"/>
  <c r="A5" i="17"/>
  <c r="C54" i="17"/>
  <c r="C56" i="17" s="1"/>
  <c r="C57" i="17" s="1"/>
  <c r="D54" i="17"/>
  <c r="D72" i="17" s="1"/>
  <c r="D34" i="32" s="1"/>
  <c r="D35" i="32" s="1"/>
  <c r="E54" i="17"/>
  <c r="E72" i="17" s="1"/>
  <c r="E34" i="32" s="1"/>
  <c r="E35" i="32" s="1"/>
  <c r="F54" i="17"/>
  <c r="F71" i="17" s="1"/>
  <c r="F32" i="32" s="1"/>
  <c r="F33" i="32" s="1"/>
  <c r="G54" i="17"/>
  <c r="H54" i="17"/>
  <c r="I54" i="17"/>
  <c r="J54" i="17"/>
  <c r="K54" i="17"/>
  <c r="L54" i="17"/>
  <c r="L72" i="17" s="1"/>
  <c r="L34" i="32" s="1"/>
  <c r="L35" i="32" s="1"/>
  <c r="M54" i="17"/>
  <c r="M72" i="17" s="1"/>
  <c r="M34" i="32" s="1"/>
  <c r="M35" i="32" s="1"/>
  <c r="C29" i="17"/>
  <c r="D29" i="17"/>
  <c r="E29" i="17"/>
  <c r="E46" i="17" s="1"/>
  <c r="E19" i="32" s="1"/>
  <c r="F29" i="17"/>
  <c r="F47" i="17" s="1"/>
  <c r="F21" i="32" s="1"/>
  <c r="F22" i="32" s="1"/>
  <c r="G29" i="17"/>
  <c r="H29" i="17"/>
  <c r="I29" i="17"/>
  <c r="I46" i="17" s="1"/>
  <c r="I19" i="32" s="1"/>
  <c r="J29" i="17"/>
  <c r="L29" i="17"/>
  <c r="M29" i="17"/>
  <c r="M46" i="17" s="1"/>
  <c r="M19" i="32" s="1"/>
  <c r="C4" i="17"/>
  <c r="D4" i="17"/>
  <c r="E4" i="17"/>
  <c r="E22" i="17" s="1"/>
  <c r="E8" i="32" s="1"/>
  <c r="E9" i="32" s="1"/>
  <c r="F4" i="17"/>
  <c r="G4" i="17"/>
  <c r="H4" i="17"/>
  <c r="I4" i="17"/>
  <c r="I21" i="17" s="1"/>
  <c r="I6" i="32" s="1"/>
  <c r="I7" i="32" s="1"/>
  <c r="J4" i="17"/>
  <c r="J22" i="17" s="1"/>
  <c r="J8" i="32" s="1"/>
  <c r="J9" i="32" s="1"/>
  <c r="K4" i="17"/>
  <c r="L4" i="17"/>
  <c r="M4" i="17"/>
  <c r="M22" i="17" s="1"/>
  <c r="M8" i="32" s="1"/>
  <c r="M9" i="32" s="1"/>
  <c r="E56" i="17" l="1"/>
  <c r="E57" i="17" s="1"/>
  <c r="M21" i="17"/>
  <c r="M6" i="32" s="1"/>
  <c r="M7" i="32" s="1"/>
  <c r="E21" i="17"/>
  <c r="E6" i="32" s="1"/>
  <c r="E7" i="32" s="1"/>
  <c r="M71" i="17"/>
  <c r="M32" i="32" s="1"/>
  <c r="M33" i="32" s="1"/>
  <c r="D56" i="17"/>
  <c r="D57" i="17" s="1"/>
  <c r="E71" i="17"/>
  <c r="E32" i="32" s="1"/>
  <c r="E33" i="32" s="1"/>
  <c r="E60" i="17"/>
  <c r="E61" i="17" s="1"/>
  <c r="B47" i="17"/>
  <c r="B21" i="32" s="1"/>
  <c r="B22" i="32" s="1"/>
  <c r="B21" i="17"/>
  <c r="B6" i="32" s="1"/>
  <c r="B7" i="32" s="1"/>
  <c r="I20" i="32"/>
  <c r="M20" i="32"/>
  <c r="E20" i="32"/>
  <c r="L21" i="17"/>
  <c r="L6" i="32" s="1"/>
  <c r="L7" i="32" s="1"/>
  <c r="D21" i="17"/>
  <c r="D6" i="32" s="1"/>
  <c r="D7" i="32" s="1"/>
  <c r="H46" i="17"/>
  <c r="H19" i="32" s="1"/>
  <c r="H20" i="32" s="1"/>
  <c r="L71" i="17"/>
  <c r="L32" i="32" s="1"/>
  <c r="L33" i="32" s="1"/>
  <c r="D71" i="17"/>
  <c r="D32" i="32" s="1"/>
  <c r="D33" i="32" s="1"/>
  <c r="I22" i="17"/>
  <c r="I8" i="32" s="1"/>
  <c r="I9" i="32" s="1"/>
  <c r="M47" i="17"/>
  <c r="M21" i="32" s="1"/>
  <c r="M22" i="32" s="1"/>
  <c r="E47" i="17"/>
  <c r="E21" i="32" s="1"/>
  <c r="E22" i="32" s="1"/>
  <c r="I72" i="17"/>
  <c r="I34" i="32" s="1"/>
  <c r="I35" i="32" s="1"/>
  <c r="K21" i="17"/>
  <c r="K6" i="32" s="1"/>
  <c r="K7" i="32" s="1"/>
  <c r="C21" i="17"/>
  <c r="C6" i="32" s="1"/>
  <c r="C7" i="32" s="1"/>
  <c r="G46" i="17"/>
  <c r="G19" i="32" s="1"/>
  <c r="G20" i="32" s="1"/>
  <c r="K71" i="17"/>
  <c r="K32" i="32" s="1"/>
  <c r="K33" i="32" s="1"/>
  <c r="C71" i="17"/>
  <c r="C32" i="32" s="1"/>
  <c r="H22" i="17"/>
  <c r="H8" i="32" s="1"/>
  <c r="H9" i="32" s="1"/>
  <c r="L47" i="17"/>
  <c r="L21" i="32" s="1"/>
  <c r="L22" i="32" s="1"/>
  <c r="D47" i="17"/>
  <c r="D21" i="32" s="1"/>
  <c r="D22" i="32" s="1"/>
  <c r="H72" i="17"/>
  <c r="H34" i="32" s="1"/>
  <c r="H35" i="32" s="1"/>
  <c r="J21" i="17"/>
  <c r="J6" i="32" s="1"/>
  <c r="J7" i="32" s="1"/>
  <c r="F46" i="17"/>
  <c r="F19" i="32" s="1"/>
  <c r="F20" i="32" s="1"/>
  <c r="J71" i="17"/>
  <c r="J32" i="32" s="1"/>
  <c r="J33" i="32" s="1"/>
  <c r="G22" i="17"/>
  <c r="G8" i="32" s="1"/>
  <c r="G9" i="32" s="1"/>
  <c r="K47" i="17"/>
  <c r="K21" i="32" s="1"/>
  <c r="K22" i="32" s="1"/>
  <c r="C47" i="17"/>
  <c r="C21" i="32" s="1"/>
  <c r="C22" i="32" s="1"/>
  <c r="G72" i="17"/>
  <c r="G34" i="32" s="1"/>
  <c r="G35" i="32" s="1"/>
  <c r="I71" i="17"/>
  <c r="I32" i="32" s="1"/>
  <c r="I33" i="32" s="1"/>
  <c r="F22" i="17"/>
  <c r="F8" i="32" s="1"/>
  <c r="F9" i="32" s="1"/>
  <c r="J47" i="17"/>
  <c r="J21" i="32" s="1"/>
  <c r="J22" i="32" s="1"/>
  <c r="B72" i="17"/>
  <c r="B34" i="32" s="1"/>
  <c r="B35" i="32" s="1"/>
  <c r="F72" i="17"/>
  <c r="F34" i="32" s="1"/>
  <c r="F35" i="32" s="1"/>
  <c r="H21" i="17"/>
  <c r="H6" i="32" s="1"/>
  <c r="H7" i="32" s="1"/>
  <c r="D46" i="17"/>
  <c r="D19" i="32" s="1"/>
  <c r="H71" i="17"/>
  <c r="H32" i="32" s="1"/>
  <c r="H33" i="32" s="1"/>
  <c r="I47" i="17"/>
  <c r="I21" i="32" s="1"/>
  <c r="I22" i="32" s="1"/>
  <c r="J72" i="17"/>
  <c r="J34" i="32" s="1"/>
  <c r="J35" i="32" s="1"/>
  <c r="G21" i="17"/>
  <c r="G6" i="32" s="1"/>
  <c r="G7" i="32" s="1"/>
  <c r="L46" i="17"/>
  <c r="L19" i="32" s="1"/>
  <c r="C46" i="17"/>
  <c r="C19" i="32" s="1"/>
  <c r="G71" i="17"/>
  <c r="G32" i="32" s="1"/>
  <c r="G33" i="32" s="1"/>
  <c r="L22" i="17"/>
  <c r="L8" i="32" s="1"/>
  <c r="L9" i="32" s="1"/>
  <c r="D22" i="17"/>
  <c r="D8" i="32" s="1"/>
  <c r="D9" i="32" s="1"/>
  <c r="H47" i="17"/>
  <c r="H21" i="32" s="1"/>
  <c r="H22" i="32" s="1"/>
  <c r="F21" i="17"/>
  <c r="F6" i="32" s="1"/>
  <c r="F7" i="32" s="1"/>
  <c r="J46" i="17"/>
  <c r="J19" i="32" s="1"/>
  <c r="J20" i="32" s="1"/>
  <c r="K22" i="17"/>
  <c r="K8" i="32" s="1"/>
  <c r="K9" i="32" s="1"/>
  <c r="C22" i="17"/>
  <c r="C8" i="32" s="1"/>
  <c r="C9" i="32" s="1"/>
  <c r="G47" i="17"/>
  <c r="G21" i="32" s="1"/>
  <c r="K72" i="17"/>
  <c r="K34" i="32" s="1"/>
  <c r="K35" i="32" s="1"/>
  <c r="C72" i="17"/>
  <c r="C34" i="32" s="1"/>
  <c r="B71" i="17"/>
  <c r="B32" i="32" s="1"/>
  <c r="B33" i="32" s="1"/>
  <c r="B68" i="17"/>
  <c r="B69" i="17" s="1"/>
  <c r="B56" i="17"/>
  <c r="B57" i="17" s="1"/>
  <c r="B60" i="17"/>
  <c r="B61" i="17" s="1"/>
  <c r="N9" i="32" l="1"/>
  <c r="N7" i="32"/>
  <c r="G22" i="32"/>
  <c r="N22" i="32" s="1"/>
  <c r="N32" i="32"/>
  <c r="C33" i="32"/>
  <c r="N33" i="32" s="1"/>
  <c r="N34" i="32"/>
  <c r="C35" i="32"/>
  <c r="N35" i="32" s="1"/>
  <c r="D20" i="32"/>
  <c r="N19" i="32"/>
  <c r="C20" i="32"/>
  <c r="N21" i="32"/>
  <c r="L20" i="32"/>
  <c r="N6" i="32"/>
  <c r="N8" i="32"/>
  <c r="N20" i="32" l="1"/>
  <c r="C26" i="3" l="1"/>
  <c r="D26" i="3"/>
  <c r="E26" i="3"/>
  <c r="F26" i="3"/>
  <c r="G26" i="3"/>
  <c r="H26" i="3"/>
  <c r="I26" i="3"/>
  <c r="J26" i="3"/>
  <c r="K26" i="3"/>
  <c r="L26" i="3"/>
  <c r="M26" i="3"/>
  <c r="B26" i="3"/>
  <c r="C16" i="3"/>
  <c r="D16" i="3"/>
  <c r="E16" i="3"/>
  <c r="F16" i="3"/>
  <c r="G16" i="3"/>
  <c r="H16" i="3"/>
  <c r="I16" i="3"/>
  <c r="J16" i="3"/>
  <c r="K16" i="3"/>
  <c r="L16" i="3"/>
  <c r="M16" i="3"/>
  <c r="B16" i="3"/>
  <c r="C6" i="3"/>
  <c r="D6" i="3"/>
  <c r="E6" i="3"/>
  <c r="F6" i="3"/>
  <c r="G6" i="3"/>
  <c r="H6" i="3"/>
  <c r="I6" i="3"/>
  <c r="J6" i="3"/>
  <c r="K6" i="3"/>
  <c r="L6" i="3"/>
  <c r="M6" i="3"/>
  <c r="B6" i="3"/>
  <c r="C24" i="3"/>
  <c r="D24" i="3"/>
  <c r="E24" i="3"/>
  <c r="F24" i="3"/>
  <c r="G24" i="3"/>
  <c r="H24" i="3"/>
  <c r="I24" i="3"/>
  <c r="J24" i="3"/>
  <c r="K24" i="3"/>
  <c r="L24" i="3"/>
  <c r="M24" i="3"/>
  <c r="B24" i="3"/>
  <c r="C14" i="3"/>
  <c r="D14" i="3"/>
  <c r="E14" i="3"/>
  <c r="F14" i="3"/>
  <c r="G14" i="3"/>
  <c r="H14" i="3"/>
  <c r="I14" i="3"/>
  <c r="J14" i="3"/>
  <c r="K14" i="3"/>
  <c r="L14" i="3"/>
  <c r="M14" i="3"/>
  <c r="B14" i="3"/>
  <c r="N42" i="15"/>
  <c r="A42" i="15"/>
  <c r="N41" i="15"/>
  <c r="A41" i="15"/>
  <c r="N40" i="15"/>
  <c r="A40" i="15"/>
  <c r="N39" i="15"/>
  <c r="A39" i="15"/>
  <c r="A130" i="16" s="1"/>
  <c r="N38" i="15"/>
  <c r="A38" i="15"/>
  <c r="A120" i="16" s="1"/>
  <c r="N37" i="15"/>
  <c r="A37" i="15"/>
  <c r="A110" i="16" s="1"/>
  <c r="N36" i="15"/>
  <c r="A36" i="15"/>
  <c r="A100" i="16" s="1"/>
  <c r="M34" i="15"/>
  <c r="L34" i="15"/>
  <c r="K34" i="15"/>
  <c r="J34" i="15"/>
  <c r="I34" i="15"/>
  <c r="H34" i="15"/>
  <c r="G34" i="15"/>
  <c r="F34" i="15"/>
  <c r="E34" i="15"/>
  <c r="D34" i="15"/>
  <c r="C34" i="15"/>
  <c r="B34" i="15"/>
  <c r="N27" i="15"/>
  <c r="A27" i="15"/>
  <c r="N26" i="15"/>
  <c r="A26" i="15"/>
  <c r="N25" i="15"/>
  <c r="A25" i="15"/>
  <c r="N24" i="15"/>
  <c r="A24" i="15"/>
  <c r="A83" i="16" s="1"/>
  <c r="N23" i="15"/>
  <c r="A23" i="15"/>
  <c r="A73" i="16" s="1"/>
  <c r="N22" i="15"/>
  <c r="A22" i="15"/>
  <c r="A63" i="16" s="1"/>
  <c r="N21" i="15"/>
  <c r="A21" i="15"/>
  <c r="A53" i="16" s="1"/>
  <c r="M19" i="15"/>
  <c r="L19" i="15"/>
  <c r="K19" i="15"/>
  <c r="J19" i="15"/>
  <c r="I19" i="15"/>
  <c r="H19" i="15"/>
  <c r="G19" i="15"/>
  <c r="F19" i="15"/>
  <c r="E19" i="15"/>
  <c r="D19" i="15"/>
  <c r="C19" i="15"/>
  <c r="B19" i="15"/>
  <c r="N7" i="15"/>
  <c r="N8" i="15"/>
  <c r="N9" i="15"/>
  <c r="B84" i="16" s="1"/>
  <c r="C84" i="16" s="1"/>
  <c r="D84" i="16" s="1"/>
  <c r="E84" i="16" s="1"/>
  <c r="F84" i="16" s="1"/>
  <c r="G84" i="16" s="1"/>
  <c r="H84" i="16" s="1"/>
  <c r="I84" i="16" s="1"/>
  <c r="J84" i="16" s="1"/>
  <c r="K84" i="16" s="1"/>
  <c r="L84" i="16" s="1"/>
  <c r="M84" i="16" s="1"/>
  <c r="N10" i="15"/>
  <c r="N11" i="15"/>
  <c r="N12" i="15"/>
  <c r="C4" i="15"/>
  <c r="D4" i="15"/>
  <c r="E4" i="15"/>
  <c r="F4" i="15"/>
  <c r="G4" i="15"/>
  <c r="H4" i="15"/>
  <c r="I4" i="15"/>
  <c r="J4" i="15"/>
  <c r="K4" i="15"/>
  <c r="L4" i="15"/>
  <c r="M4" i="15"/>
  <c r="B4" i="15"/>
  <c r="B13" i="15" s="1"/>
  <c r="B5" i="3" s="1"/>
  <c r="A12" i="15"/>
  <c r="A11" i="15"/>
  <c r="A10" i="15"/>
  <c r="A9" i="15"/>
  <c r="A36" i="16" s="1"/>
  <c r="A8" i="15"/>
  <c r="A26" i="16" s="1"/>
  <c r="A7" i="15"/>
  <c r="A16" i="16" s="1"/>
  <c r="A6" i="15"/>
  <c r="A6" i="16" s="1"/>
  <c r="N34" i="15" l="1"/>
  <c r="N19" i="15"/>
  <c r="C13" i="15"/>
  <c r="D13" i="15" l="1"/>
  <c r="C5" i="3"/>
  <c r="E13" i="15" l="1"/>
  <c r="D5" i="3"/>
  <c r="O12" i="30"/>
  <c r="O13" i="30"/>
  <c r="O15" i="30"/>
  <c r="O16" i="30"/>
  <c r="O18" i="30"/>
  <c r="N17" i="30"/>
  <c r="M17" i="30"/>
  <c r="L17" i="30"/>
  <c r="K17" i="30"/>
  <c r="J17" i="30"/>
  <c r="I17" i="30"/>
  <c r="H17" i="30"/>
  <c r="G17" i="30"/>
  <c r="F17" i="30"/>
  <c r="E17" i="30"/>
  <c r="D17" i="30"/>
  <c r="C17" i="30"/>
  <c r="F13" i="15" l="1"/>
  <c r="E5" i="3"/>
  <c r="C31" i="30"/>
  <c r="O17" i="30"/>
  <c r="G13" i="15" l="1"/>
  <c r="F5" i="3"/>
  <c r="H13" i="15" l="1"/>
  <c r="G5" i="3"/>
  <c r="I13" i="15" l="1"/>
  <c r="H5" i="3"/>
  <c r="E4" i="18"/>
  <c r="E5" i="18"/>
  <c r="F5" i="18" s="1"/>
  <c r="G5" i="18" s="1"/>
  <c r="B8" i="5" s="1"/>
  <c r="E6" i="18"/>
  <c r="F6" i="18" s="1"/>
  <c r="G6" i="18" s="1"/>
  <c r="B9" i="5" s="1"/>
  <c r="E7" i="18"/>
  <c r="E8" i="18"/>
  <c r="E3" i="18"/>
  <c r="E18" i="18"/>
  <c r="J13" i="15" l="1"/>
  <c r="I5" i="3"/>
  <c r="F3" i="18"/>
  <c r="G3" i="18" s="1"/>
  <c r="B6" i="5" s="1"/>
  <c r="E9" i="18"/>
  <c r="C9" i="18" s="1"/>
  <c r="N72" i="17"/>
  <c r="N21" i="17"/>
  <c r="N22" i="17"/>
  <c r="N71" i="17"/>
  <c r="N47" i="17"/>
  <c r="N46" i="17"/>
  <c r="E17" i="18"/>
  <c r="E27" i="18"/>
  <c r="F27" i="18" s="1"/>
  <c r="G27" i="18" s="1"/>
  <c r="D10" i="5" s="1"/>
  <c r="E26" i="18"/>
  <c r="F26" i="18" s="1"/>
  <c r="G26" i="18" s="1"/>
  <c r="D9" i="5" s="1"/>
  <c r="E16" i="18"/>
  <c r="F16" i="18" s="1"/>
  <c r="G16" i="18" s="1"/>
  <c r="C9" i="5" s="1"/>
  <c r="E25" i="18"/>
  <c r="F25" i="18" s="1"/>
  <c r="G25" i="18" s="1"/>
  <c r="D8" i="5" s="1"/>
  <c r="E24" i="18"/>
  <c r="F24" i="18" s="1"/>
  <c r="G24" i="18" s="1"/>
  <c r="D7" i="5" s="1"/>
  <c r="E23" i="18"/>
  <c r="E15" i="18"/>
  <c r="F15" i="18" s="1"/>
  <c r="G15" i="18" s="1"/>
  <c r="C8" i="5" s="1"/>
  <c r="E14" i="18"/>
  <c r="F14" i="18" s="1"/>
  <c r="G14" i="18" s="1"/>
  <c r="C7" i="5" s="1"/>
  <c r="E13" i="18"/>
  <c r="F8" i="18"/>
  <c r="G8" i="18" s="1"/>
  <c r="B11" i="5" s="1"/>
  <c r="F18" i="18"/>
  <c r="G18" i="18" s="1"/>
  <c r="C11" i="5" s="1"/>
  <c r="F4" i="18"/>
  <c r="F7" i="18"/>
  <c r="G7" i="18" s="1"/>
  <c r="B10" i="5" s="1"/>
  <c r="C58" i="17"/>
  <c r="N54" i="17"/>
  <c r="N64" i="17" s="1"/>
  <c r="N29" i="17"/>
  <c r="N39" i="17" s="1"/>
  <c r="N4" i="17"/>
  <c r="N14" i="17" s="1"/>
  <c r="B133" i="16"/>
  <c r="B137" i="16" s="1"/>
  <c r="B123" i="16"/>
  <c r="B127" i="16" s="1"/>
  <c r="E113" i="16"/>
  <c r="E117" i="16" s="1"/>
  <c r="B113" i="16"/>
  <c r="B117" i="16" s="1"/>
  <c r="C103" i="16"/>
  <c r="D103" i="16"/>
  <c r="E103" i="16"/>
  <c r="B103" i="16"/>
  <c r="C131" i="16"/>
  <c r="N98" i="16"/>
  <c r="N51" i="16"/>
  <c r="B37" i="16"/>
  <c r="B27" i="16"/>
  <c r="B17" i="16"/>
  <c r="B7" i="16"/>
  <c r="N4" i="16"/>
  <c r="B64" i="16"/>
  <c r="B74" i="16"/>
  <c r="B39" i="17" s="1"/>
  <c r="B40" i="17" s="1"/>
  <c r="B41" i="17" s="1"/>
  <c r="N6" i="15"/>
  <c r="B54" i="16" s="1"/>
  <c r="C37" i="16" l="1"/>
  <c r="B18" i="17"/>
  <c r="B19" i="17" s="1"/>
  <c r="C133" i="16"/>
  <c r="C137" i="16" s="1"/>
  <c r="C68" i="17"/>
  <c r="B29" i="16"/>
  <c r="B33" i="16" s="1"/>
  <c r="B14" i="17"/>
  <c r="B15" i="17" s="1"/>
  <c r="B124" i="16"/>
  <c r="B125" i="16" s="1"/>
  <c r="B86" i="16"/>
  <c r="B90" i="16" s="1"/>
  <c r="B91" i="16" s="1"/>
  <c r="B43" i="17"/>
  <c r="B44" i="17" s="1"/>
  <c r="B45" i="17" s="1"/>
  <c r="B19" i="16"/>
  <c r="B23" i="16" s="1"/>
  <c r="B24" i="16" s="1"/>
  <c r="B25" i="16" s="1"/>
  <c r="B10" i="17"/>
  <c r="B11" i="17" s="1"/>
  <c r="B66" i="16"/>
  <c r="B67" i="16" s="1"/>
  <c r="B35" i="17"/>
  <c r="B36" i="17" s="1"/>
  <c r="B37" i="17" s="1"/>
  <c r="C54" i="16"/>
  <c r="B31" i="17"/>
  <c r="B32" i="17" s="1"/>
  <c r="B9" i="16"/>
  <c r="B13" i="16" s="1"/>
  <c r="B6" i="17"/>
  <c r="B7" i="17" s="1"/>
  <c r="K13" i="15"/>
  <c r="J5" i="3"/>
  <c r="E19" i="18"/>
  <c r="C19" i="18" s="1"/>
  <c r="F23" i="18"/>
  <c r="G23" i="18" s="1"/>
  <c r="F9" i="18"/>
  <c r="N10" i="17"/>
  <c r="E58" i="17"/>
  <c r="E62" i="17"/>
  <c r="B70" i="17"/>
  <c r="B58" i="17"/>
  <c r="B62" i="17"/>
  <c r="B66" i="17"/>
  <c r="C7" i="16"/>
  <c r="D7" i="16" s="1"/>
  <c r="D6" i="17" s="1"/>
  <c r="C74" i="16"/>
  <c r="C39" i="17" s="1"/>
  <c r="C40" i="17" s="1"/>
  <c r="C41" i="17" s="1"/>
  <c r="B76" i="16"/>
  <c r="C17" i="16"/>
  <c r="C10" i="17" s="1"/>
  <c r="B39" i="16"/>
  <c r="B40" i="16" s="1"/>
  <c r="C64" i="16"/>
  <c r="C35" i="17" s="1"/>
  <c r="C36" i="17" s="1"/>
  <c r="C43" i="17"/>
  <c r="D58" i="17"/>
  <c r="C27" i="16"/>
  <c r="E28" i="18"/>
  <c r="F28" i="18" s="1"/>
  <c r="G28" i="18" s="1"/>
  <c r="D11" i="5" s="1"/>
  <c r="F13" i="18"/>
  <c r="G4" i="18"/>
  <c r="G9" i="18" s="1"/>
  <c r="F17" i="18"/>
  <c r="G17" i="18" s="1"/>
  <c r="C10" i="5" s="1"/>
  <c r="N60" i="17"/>
  <c r="N35" i="17"/>
  <c r="C134" i="16"/>
  <c r="C135" i="16" s="1"/>
  <c r="B134" i="16"/>
  <c r="B135" i="16" s="1"/>
  <c r="C111" i="16"/>
  <c r="D131" i="16"/>
  <c r="B138" i="16"/>
  <c r="C121" i="16"/>
  <c r="B56" i="16"/>
  <c r="B60" i="16" s="1"/>
  <c r="C39" i="16"/>
  <c r="B34" i="16"/>
  <c r="B30" i="16"/>
  <c r="B31" i="16" s="1"/>
  <c r="N4" i="15"/>
  <c r="B7" i="3"/>
  <c r="C7" i="3"/>
  <c r="C8" i="3" s="1"/>
  <c r="D7" i="3"/>
  <c r="D8" i="3" s="1"/>
  <c r="D133" i="16" l="1"/>
  <c r="D137" i="16" s="1"/>
  <c r="D68" i="17"/>
  <c r="C113" i="16"/>
  <c r="C117" i="16" s="1"/>
  <c r="C60" i="17"/>
  <c r="C69" i="17"/>
  <c r="C70" i="17" s="1"/>
  <c r="C123" i="16"/>
  <c r="C127" i="16" s="1"/>
  <c r="C64" i="17"/>
  <c r="C65" i="17" s="1"/>
  <c r="C66" i="17" s="1"/>
  <c r="D27" i="16"/>
  <c r="C14" i="17"/>
  <c r="C15" i="17" s="1"/>
  <c r="D37" i="16"/>
  <c r="C18" i="17"/>
  <c r="C19" i="17" s="1"/>
  <c r="B10" i="16"/>
  <c r="B11" i="16" s="1"/>
  <c r="B15" i="16" s="1"/>
  <c r="B70" i="16"/>
  <c r="B71" i="16" s="1"/>
  <c r="B72" i="16" s="1"/>
  <c r="B20" i="16"/>
  <c r="B21" i="16" s="1"/>
  <c r="B87" i="16"/>
  <c r="B88" i="16" s="1"/>
  <c r="B33" i="17"/>
  <c r="B48" i="17" s="1"/>
  <c r="B17" i="32" s="1"/>
  <c r="B8" i="17"/>
  <c r="C44" i="17"/>
  <c r="C45" i="17" s="1"/>
  <c r="C37" i="17"/>
  <c r="B12" i="17"/>
  <c r="C11" i="17"/>
  <c r="C12" i="17" s="1"/>
  <c r="D7" i="17"/>
  <c r="D8" i="17" s="1"/>
  <c r="C9" i="16"/>
  <c r="C6" i="17"/>
  <c r="L13" i="15"/>
  <c r="K5" i="3"/>
  <c r="D54" i="16"/>
  <c r="C31" i="17"/>
  <c r="D6" i="5"/>
  <c r="G29" i="18"/>
  <c r="G13" i="18"/>
  <c r="F19" i="18"/>
  <c r="E29" i="18"/>
  <c r="C29" i="18" s="1"/>
  <c r="F29" i="18"/>
  <c r="B73" i="17"/>
  <c r="B30" i="32" s="1"/>
  <c r="B43" i="16"/>
  <c r="B44" i="16" s="1"/>
  <c r="B41" i="16"/>
  <c r="D43" i="17"/>
  <c r="C86" i="16"/>
  <c r="C19" i="16"/>
  <c r="D17" i="16"/>
  <c r="D10" i="17" s="1"/>
  <c r="D64" i="16"/>
  <c r="D35" i="17" s="1"/>
  <c r="C66" i="16"/>
  <c r="C67" i="16" s="1"/>
  <c r="C68" i="16" s="1"/>
  <c r="C29" i="16"/>
  <c r="B61" i="16"/>
  <c r="B62" i="16" s="1"/>
  <c r="D9" i="16"/>
  <c r="E7" i="16"/>
  <c r="E6" i="17" s="1"/>
  <c r="C76" i="16"/>
  <c r="D74" i="16"/>
  <c r="D39" i="17" s="1"/>
  <c r="D40" i="17" s="1"/>
  <c r="D41" i="17" s="1"/>
  <c r="B7" i="5"/>
  <c r="B4" i="5" s="1"/>
  <c r="B107" i="16"/>
  <c r="B104" i="16"/>
  <c r="E131" i="16"/>
  <c r="D121" i="16"/>
  <c r="B114" i="16"/>
  <c r="B128" i="16"/>
  <c r="B139" i="16"/>
  <c r="D111" i="16"/>
  <c r="C138" i="16"/>
  <c r="C139" i="16" s="1"/>
  <c r="B77" i="16"/>
  <c r="B78" i="16" s="1"/>
  <c r="B80" i="16"/>
  <c r="C56" i="16"/>
  <c r="C60" i="16" s="1"/>
  <c r="B57" i="16"/>
  <c r="B58" i="16" s="1"/>
  <c r="B92" i="16"/>
  <c r="B68" i="16"/>
  <c r="C43" i="16"/>
  <c r="C40" i="16"/>
  <c r="B35" i="16"/>
  <c r="D29" i="16"/>
  <c r="D9" i="3"/>
  <c r="D4" i="13" s="1"/>
  <c r="D7" i="13" s="1"/>
  <c r="D8" i="13" s="1"/>
  <c r="B8" i="3"/>
  <c r="B9" i="3" s="1"/>
  <c r="B4" i="13" s="1"/>
  <c r="C9" i="3"/>
  <c r="C4" i="13" s="1"/>
  <c r="C7" i="13" s="1"/>
  <c r="C8" i="13" s="1"/>
  <c r="D123" i="16" l="1"/>
  <c r="D127" i="16" s="1"/>
  <c r="D64" i="17"/>
  <c r="D65" i="17" s="1"/>
  <c r="D66" i="17" s="1"/>
  <c r="E133" i="16"/>
  <c r="E137" i="16" s="1"/>
  <c r="E68" i="17"/>
  <c r="C61" i="17"/>
  <c r="C62" i="17" s="1"/>
  <c r="E37" i="16"/>
  <c r="D18" i="17"/>
  <c r="D19" i="17" s="1"/>
  <c r="D39" i="16"/>
  <c r="D113" i="16"/>
  <c r="D117" i="16" s="1"/>
  <c r="D60" i="17"/>
  <c r="D69" i="17"/>
  <c r="D70" i="17"/>
  <c r="E27" i="16"/>
  <c r="D14" i="17"/>
  <c r="D15" i="17" s="1"/>
  <c r="H21" i="30"/>
  <c r="I21" i="30"/>
  <c r="M21" i="30"/>
  <c r="F21" i="30"/>
  <c r="C21" i="30"/>
  <c r="J21" i="30"/>
  <c r="K21" i="30"/>
  <c r="D21" i="30"/>
  <c r="L21" i="30"/>
  <c r="E21" i="30"/>
  <c r="N21" i="30"/>
  <c r="G21" i="30"/>
  <c r="B14" i="16"/>
  <c r="D44" i="17"/>
  <c r="D45" i="17" s="1"/>
  <c r="B23" i="17"/>
  <c r="D11" i="17"/>
  <c r="D12" i="17" s="1"/>
  <c r="D36" i="17"/>
  <c r="D37" i="17" s="1"/>
  <c r="M13" i="15"/>
  <c r="L5" i="3"/>
  <c r="C7" i="17"/>
  <c r="C8" i="17" s="1"/>
  <c r="C13" i="16"/>
  <c r="C10" i="16"/>
  <c r="E7" i="17"/>
  <c r="E8" i="17" s="1"/>
  <c r="C32" i="17"/>
  <c r="C33" i="17" s="1"/>
  <c r="E54" i="16"/>
  <c r="D31" i="17"/>
  <c r="B13" i="13"/>
  <c r="B9" i="13"/>
  <c r="B5" i="13"/>
  <c r="B4" i="22" s="1"/>
  <c r="B11" i="13"/>
  <c r="B7" i="13"/>
  <c r="B5" i="22" s="1"/>
  <c r="D13" i="13"/>
  <c r="D9" i="13"/>
  <c r="D5" i="13"/>
  <c r="D4" i="22" s="1"/>
  <c r="D5" i="22"/>
  <c r="D11" i="13"/>
  <c r="C11" i="13"/>
  <c r="C5" i="22"/>
  <c r="C9" i="13"/>
  <c r="C13" i="13"/>
  <c r="C5" i="13"/>
  <c r="C4" i="22" s="1"/>
  <c r="B18" i="32"/>
  <c r="B23" i="32"/>
  <c r="B31" i="32"/>
  <c r="B36" i="32"/>
  <c r="C6" i="5"/>
  <c r="G19" i="18"/>
  <c r="C70" i="16"/>
  <c r="C71" i="16" s="1"/>
  <c r="C72" i="16" s="1"/>
  <c r="C33" i="16"/>
  <c r="C34" i="16" s="1"/>
  <c r="C35" i="16" s="1"/>
  <c r="C30" i="16"/>
  <c r="C31" i="16" s="1"/>
  <c r="C23" i="16"/>
  <c r="C20" i="16"/>
  <c r="C21" i="16" s="1"/>
  <c r="F7" i="16"/>
  <c r="F6" i="17" s="1"/>
  <c r="E9" i="16"/>
  <c r="B108" i="16"/>
  <c r="B109" i="16" s="1"/>
  <c r="D76" i="16"/>
  <c r="E74" i="16"/>
  <c r="E39" i="17" s="1"/>
  <c r="E40" i="17" s="1"/>
  <c r="E41" i="17" s="1"/>
  <c r="D13" i="16"/>
  <c r="D10" i="16"/>
  <c r="C61" i="16"/>
  <c r="C62" i="16" s="1"/>
  <c r="E43" i="17"/>
  <c r="D86" i="16"/>
  <c r="E64" i="16"/>
  <c r="E35" i="17" s="1"/>
  <c r="D66" i="16"/>
  <c r="D70" i="16" s="1"/>
  <c r="D19" i="16"/>
  <c r="D23" i="16" s="1"/>
  <c r="D24" i="16" s="1"/>
  <c r="D25" i="16" s="1"/>
  <c r="E17" i="16"/>
  <c r="E10" i="17" s="1"/>
  <c r="C90" i="16"/>
  <c r="C87" i="16"/>
  <c r="C88" i="16" s="1"/>
  <c r="C124" i="16"/>
  <c r="C125" i="16" s="1"/>
  <c r="D134" i="16"/>
  <c r="C104" i="16"/>
  <c r="C107" i="16"/>
  <c r="B118" i="16"/>
  <c r="B119" i="16" s="1"/>
  <c r="E121" i="16"/>
  <c r="B129" i="16"/>
  <c r="C114" i="16"/>
  <c r="C115" i="16" s="1"/>
  <c r="B115" i="16"/>
  <c r="F131" i="16"/>
  <c r="B105" i="16"/>
  <c r="B81" i="16"/>
  <c r="D56" i="16"/>
  <c r="D60" i="16" s="1"/>
  <c r="C80" i="16"/>
  <c r="C77" i="16"/>
  <c r="C78" i="16" s="1"/>
  <c r="C57" i="16"/>
  <c r="C44" i="16"/>
  <c r="C45" i="16" s="1"/>
  <c r="B45" i="16"/>
  <c r="C41" i="16"/>
  <c r="E29" i="16"/>
  <c r="D30" i="16"/>
  <c r="D33" i="16"/>
  <c r="N24" i="3"/>
  <c r="E69" i="17" l="1"/>
  <c r="E70" i="17" s="1"/>
  <c r="E123" i="16"/>
  <c r="E127" i="16" s="1"/>
  <c r="E64" i="17"/>
  <c r="E65" i="17" s="1"/>
  <c r="E66" i="17" s="1"/>
  <c r="D61" i="17"/>
  <c r="D62" i="17" s="1"/>
  <c r="D73" i="17" s="1"/>
  <c r="D30" i="32" s="1"/>
  <c r="D43" i="16"/>
  <c r="D44" i="16" s="1"/>
  <c r="D45" i="16" s="1"/>
  <c r="D40" i="16"/>
  <c r="D41" i="16" s="1"/>
  <c r="F133" i="16"/>
  <c r="F137" i="16" s="1"/>
  <c r="F68" i="17"/>
  <c r="F27" i="16"/>
  <c r="E14" i="17"/>
  <c r="E15" i="17" s="1"/>
  <c r="F37" i="16"/>
  <c r="E18" i="17"/>
  <c r="E39" i="16"/>
  <c r="C73" i="17"/>
  <c r="C30" i="32" s="1"/>
  <c r="O21" i="30"/>
  <c r="D8" i="22"/>
  <c r="D14" i="13"/>
  <c r="D8" i="20" s="1"/>
  <c r="B7" i="22"/>
  <c r="B12" i="13"/>
  <c r="C7" i="22"/>
  <c r="C12" i="13"/>
  <c r="D7" i="22"/>
  <c r="D12" i="13"/>
  <c r="C8" i="22"/>
  <c r="C14" i="13"/>
  <c r="C8" i="20" s="1"/>
  <c r="B8" i="22"/>
  <c r="B14" i="13"/>
  <c r="B8" i="20" s="1"/>
  <c r="B6" i="22"/>
  <c r="C6" i="22"/>
  <c r="D6" i="22"/>
  <c r="D10" i="13"/>
  <c r="D6" i="20" s="1"/>
  <c r="C10" i="13"/>
  <c r="C6" i="20" s="1"/>
  <c r="E44" i="17"/>
  <c r="E45" i="17" s="1"/>
  <c r="D23" i="17"/>
  <c r="B4" i="32"/>
  <c r="B10" i="32" s="1"/>
  <c r="E36" i="17"/>
  <c r="E37" i="17" s="1"/>
  <c r="E11" i="17"/>
  <c r="E12" i="17" s="1"/>
  <c r="C23" i="17"/>
  <c r="F7" i="17"/>
  <c r="F8" i="17" s="1"/>
  <c r="C14" i="16"/>
  <c r="C11" i="16"/>
  <c r="C15" i="16" s="1"/>
  <c r="D32" i="17"/>
  <c r="D33" i="17" s="1"/>
  <c r="D48" i="17" s="1"/>
  <c r="D17" i="32" s="1"/>
  <c r="F54" i="16"/>
  <c r="E31" i="17"/>
  <c r="C48" i="17"/>
  <c r="C17" i="32" s="1"/>
  <c r="B28" i="15"/>
  <c r="M5" i="3"/>
  <c r="C5" i="20"/>
  <c r="D6" i="13"/>
  <c r="D4" i="20" s="1"/>
  <c r="B8" i="13"/>
  <c r="B5" i="20" s="1"/>
  <c r="C6" i="13"/>
  <c r="C4" i="20" s="1"/>
  <c r="D5" i="20"/>
  <c r="B6" i="13"/>
  <c r="B4" i="20" s="1"/>
  <c r="B10" i="13"/>
  <c r="B6" i="20" s="1"/>
  <c r="B37" i="32"/>
  <c r="B24" i="32"/>
  <c r="D67" i="16"/>
  <c r="D68" i="16" s="1"/>
  <c r="D20" i="16"/>
  <c r="D21" i="16" s="1"/>
  <c r="D14" i="16"/>
  <c r="D11" i="16"/>
  <c r="G7" i="16"/>
  <c r="G6" i="17" s="1"/>
  <c r="F9" i="16"/>
  <c r="F17" i="16"/>
  <c r="F10" i="17" s="1"/>
  <c r="E19" i="16"/>
  <c r="E23" i="16" s="1"/>
  <c r="E24" i="16" s="1"/>
  <c r="E25" i="16" s="1"/>
  <c r="D61" i="16"/>
  <c r="D62" i="16" s="1"/>
  <c r="F74" i="16"/>
  <c r="F39" i="17" s="1"/>
  <c r="F40" i="17" s="1"/>
  <c r="F41" i="17" s="1"/>
  <c r="E76" i="16"/>
  <c r="C24" i="16"/>
  <c r="C25" i="16" s="1"/>
  <c r="E86" i="16"/>
  <c r="F43" i="17"/>
  <c r="E13" i="16"/>
  <c r="E10" i="16"/>
  <c r="E14" i="16" s="1"/>
  <c r="C108" i="16"/>
  <c r="C109" i="16" s="1"/>
  <c r="F64" i="16"/>
  <c r="F35" i="17" s="1"/>
  <c r="E66" i="16"/>
  <c r="E70" i="16" s="1"/>
  <c r="C4" i="5"/>
  <c r="C105" i="16"/>
  <c r="D87" i="16"/>
  <c r="D88" i="16" s="1"/>
  <c r="D90" i="16"/>
  <c r="C91" i="16"/>
  <c r="C92" i="16" s="1"/>
  <c r="E134" i="16"/>
  <c r="D124" i="16"/>
  <c r="D125" i="16" s="1"/>
  <c r="C128" i="16"/>
  <c r="C129" i="16" s="1"/>
  <c r="F111" i="16"/>
  <c r="D135" i="16"/>
  <c r="D114" i="16"/>
  <c r="D115" i="16" s="1"/>
  <c r="F101" i="16"/>
  <c r="G131" i="16"/>
  <c r="C118" i="16"/>
  <c r="C119" i="16" s="1"/>
  <c r="F121" i="16"/>
  <c r="D138" i="16"/>
  <c r="D104" i="16"/>
  <c r="D105" i="16" s="1"/>
  <c r="D107" i="16"/>
  <c r="D71" i="16"/>
  <c r="E56" i="16"/>
  <c r="E60" i="16" s="1"/>
  <c r="B82" i="16"/>
  <c r="C58" i="16"/>
  <c r="C81" i="16"/>
  <c r="C82" i="16" s="1"/>
  <c r="D57" i="16"/>
  <c r="D80" i="16"/>
  <c r="D77" i="16"/>
  <c r="D78" i="16" s="1"/>
  <c r="D31" i="16"/>
  <c r="F29" i="16"/>
  <c r="D34" i="16"/>
  <c r="D35" i="16" s="1"/>
  <c r="E30" i="16"/>
  <c r="E31" i="16" s="1"/>
  <c r="E33" i="16"/>
  <c r="N14" i="3"/>
  <c r="J7" i="3"/>
  <c r="I7" i="3"/>
  <c r="H7" i="3"/>
  <c r="H8" i="3" s="1"/>
  <c r="H9" i="3" s="1"/>
  <c r="H4" i="13" s="1"/>
  <c r="H7" i="13" s="1"/>
  <c r="H8" i="13" s="1"/>
  <c r="G7" i="3"/>
  <c r="G8" i="3" s="1"/>
  <c r="G9" i="3" s="1"/>
  <c r="G4" i="13" s="1"/>
  <c r="G7" i="13" s="1"/>
  <c r="G8" i="13" s="1"/>
  <c r="F7" i="3"/>
  <c r="E7" i="3"/>
  <c r="N4" i="3"/>
  <c r="E19" i="17" l="1"/>
  <c r="D31" i="32"/>
  <c r="D37" i="32" s="1"/>
  <c r="D36" i="32"/>
  <c r="G37" i="16"/>
  <c r="F18" i="17"/>
  <c r="F19" i="17" s="1"/>
  <c r="F39" i="16"/>
  <c r="F103" i="16"/>
  <c r="F56" i="17"/>
  <c r="E73" i="17"/>
  <c r="E30" i="32" s="1"/>
  <c r="G27" i="16"/>
  <c r="F14" i="17"/>
  <c r="F15" i="17" s="1"/>
  <c r="F69" i="17"/>
  <c r="F70" i="17" s="1"/>
  <c r="C31" i="32"/>
  <c r="C36" i="32"/>
  <c r="F113" i="16"/>
  <c r="F117" i="16" s="1"/>
  <c r="F60" i="17"/>
  <c r="F123" i="16"/>
  <c r="F127" i="16" s="1"/>
  <c r="F64" i="17"/>
  <c r="F65" i="17" s="1"/>
  <c r="F66" i="17" s="1"/>
  <c r="G133" i="16"/>
  <c r="G137" i="16" s="1"/>
  <c r="G68" i="17"/>
  <c r="E40" i="16"/>
  <c r="E41" i="16" s="1"/>
  <c r="E43" i="16"/>
  <c r="E44" i="16" s="1"/>
  <c r="E45" i="16" s="1"/>
  <c r="B10" i="22"/>
  <c r="C24" i="30" s="1"/>
  <c r="B5" i="32"/>
  <c r="B11" i="32" s="1"/>
  <c r="C19" i="30" s="1"/>
  <c r="D10" i="22"/>
  <c r="E24" i="30" s="1"/>
  <c r="C10" i="22"/>
  <c r="D24" i="30" s="1"/>
  <c r="F44" i="17"/>
  <c r="F45" i="17" s="1"/>
  <c r="E23" i="17"/>
  <c r="F36" i="17"/>
  <c r="F37" i="17" s="1"/>
  <c r="F11" i="17"/>
  <c r="F12" i="17" s="1"/>
  <c r="F23" i="17" s="1"/>
  <c r="D4" i="32"/>
  <c r="B7" i="14"/>
  <c r="B9" i="33"/>
  <c r="B9" i="6"/>
  <c r="B15" i="3"/>
  <c r="B17" i="3" s="1"/>
  <c r="B18" i="3" s="1"/>
  <c r="B19" i="3" s="1"/>
  <c r="B22" i="13" s="1"/>
  <c r="C28" i="15"/>
  <c r="D24" i="6"/>
  <c r="D24" i="33"/>
  <c r="D10" i="14"/>
  <c r="D12" i="14" s="1"/>
  <c r="E8" i="30" s="1"/>
  <c r="D14" i="6"/>
  <c r="D14" i="33"/>
  <c r="B10" i="14"/>
  <c r="B14" i="33"/>
  <c r="B14" i="6"/>
  <c r="C10" i="14"/>
  <c r="C14" i="6"/>
  <c r="C14" i="33"/>
  <c r="D18" i="32"/>
  <c r="D24" i="32" s="1"/>
  <c r="D23" i="32"/>
  <c r="B4" i="14"/>
  <c r="B4" i="33"/>
  <c r="B4" i="6"/>
  <c r="D4" i="14"/>
  <c r="D4" i="33"/>
  <c r="D4" i="6"/>
  <c r="B16" i="14"/>
  <c r="B24" i="6"/>
  <c r="B24" i="33"/>
  <c r="C24" i="6"/>
  <c r="C24" i="33"/>
  <c r="C23" i="32"/>
  <c r="C18" i="32"/>
  <c r="E32" i="17"/>
  <c r="E33" i="17" s="1"/>
  <c r="C4" i="32"/>
  <c r="G7" i="17"/>
  <c r="G8" i="17" s="1"/>
  <c r="D9" i="33"/>
  <c r="D9" i="6"/>
  <c r="C9" i="33"/>
  <c r="C9" i="6"/>
  <c r="G54" i="16"/>
  <c r="F31" i="17"/>
  <c r="C4" i="6"/>
  <c r="C4" i="33"/>
  <c r="C4" i="14"/>
  <c r="C6" i="14" s="1"/>
  <c r="D6" i="30" s="1"/>
  <c r="D16" i="14"/>
  <c r="D18" i="14" s="1"/>
  <c r="E10" i="30" s="1"/>
  <c r="C16" i="14"/>
  <c r="C18" i="14" s="1"/>
  <c r="D10" i="30" s="1"/>
  <c r="D7" i="14"/>
  <c r="D9" i="14" s="1"/>
  <c r="E7" i="30" s="1"/>
  <c r="C7" i="14"/>
  <c r="C9" i="14" s="1"/>
  <c r="D7" i="30" s="1"/>
  <c r="D7" i="20"/>
  <c r="G13" i="13"/>
  <c r="G9" i="13"/>
  <c r="G5" i="13"/>
  <c r="G4" i="22" s="1"/>
  <c r="G11" i="13"/>
  <c r="G5" i="22"/>
  <c r="H11" i="13"/>
  <c r="H5" i="22"/>
  <c r="H5" i="13"/>
  <c r="H4" i="22" s="1"/>
  <c r="H9" i="13"/>
  <c r="H13" i="13"/>
  <c r="C7" i="20"/>
  <c r="B7" i="20"/>
  <c r="E20" i="16"/>
  <c r="E21" i="16" s="1"/>
  <c r="E67" i="16"/>
  <c r="E68" i="16" s="1"/>
  <c r="D108" i="16"/>
  <c r="D109" i="16" s="1"/>
  <c r="G17" i="16"/>
  <c r="G10" i="17" s="1"/>
  <c r="F19" i="16"/>
  <c r="F23" i="16" s="1"/>
  <c r="F24" i="16" s="1"/>
  <c r="F25" i="16" s="1"/>
  <c r="G74" i="16"/>
  <c r="G39" i="17" s="1"/>
  <c r="G40" i="17" s="1"/>
  <c r="G41" i="17" s="1"/>
  <c r="F76" i="16"/>
  <c r="F10" i="16"/>
  <c r="F14" i="16" s="1"/>
  <c r="F13" i="16"/>
  <c r="E11" i="16"/>
  <c r="E15" i="16" s="1"/>
  <c r="D15" i="16"/>
  <c r="H7" i="16"/>
  <c r="H6" i="17" s="1"/>
  <c r="G9" i="16"/>
  <c r="G64" i="16"/>
  <c r="G35" i="17" s="1"/>
  <c r="F66" i="16"/>
  <c r="F67" i="16" s="1"/>
  <c r="F68" i="16" s="1"/>
  <c r="F86" i="16"/>
  <c r="G43" i="17"/>
  <c r="E61" i="16"/>
  <c r="E62" i="16" s="1"/>
  <c r="D4" i="5"/>
  <c r="E90" i="16"/>
  <c r="E87" i="16"/>
  <c r="E88" i="16" s="1"/>
  <c r="D91" i="16"/>
  <c r="D92" i="16" s="1"/>
  <c r="G121" i="16"/>
  <c r="F134" i="16"/>
  <c r="F135" i="16" s="1"/>
  <c r="D118" i="16"/>
  <c r="D119" i="16" s="1"/>
  <c r="E135" i="16"/>
  <c r="E124" i="16"/>
  <c r="E125" i="16" s="1"/>
  <c r="H131" i="16"/>
  <c r="E138" i="16"/>
  <c r="E139" i="16" s="1"/>
  <c r="G101" i="16"/>
  <c r="E114" i="16"/>
  <c r="E115" i="16" s="1"/>
  <c r="D128" i="16"/>
  <c r="D129" i="16" s="1"/>
  <c r="D139" i="16"/>
  <c r="E107" i="16"/>
  <c r="E104" i="16"/>
  <c r="G111" i="16"/>
  <c r="D81" i="16"/>
  <c r="D82" i="16" s="1"/>
  <c r="E57" i="16"/>
  <c r="E77" i="16"/>
  <c r="E78" i="16" s="1"/>
  <c r="E80" i="16"/>
  <c r="E71" i="16"/>
  <c r="E72" i="16" s="1"/>
  <c r="D72" i="16"/>
  <c r="D58" i="16"/>
  <c r="F56" i="16"/>
  <c r="F60" i="16" s="1"/>
  <c r="E34" i="16"/>
  <c r="E35" i="16" s="1"/>
  <c r="G29" i="16"/>
  <c r="F33" i="16"/>
  <c r="F30" i="16"/>
  <c r="F31" i="16" s="1"/>
  <c r="K7" i="3"/>
  <c r="K8" i="3" s="1"/>
  <c r="K9" i="3" s="1"/>
  <c r="K4" i="13" s="1"/>
  <c r="K7" i="13" s="1"/>
  <c r="K8" i="13" s="1"/>
  <c r="E8" i="3"/>
  <c r="E9" i="3" s="1"/>
  <c r="E4" i="13" s="1"/>
  <c r="E7" i="13" s="1"/>
  <c r="E8" i="13" s="1"/>
  <c r="I8" i="3"/>
  <c r="I9" i="3" s="1"/>
  <c r="I4" i="13" s="1"/>
  <c r="I7" i="13" s="1"/>
  <c r="I8" i="13" s="1"/>
  <c r="F8" i="3"/>
  <c r="F9" i="3" s="1"/>
  <c r="F4" i="13" s="1"/>
  <c r="F7" i="13" s="1"/>
  <c r="F8" i="13" s="1"/>
  <c r="J8" i="3"/>
  <c r="J9" i="3" s="1"/>
  <c r="J4" i="13" s="1"/>
  <c r="J7" i="13" s="1"/>
  <c r="J8" i="13" s="1"/>
  <c r="F43" i="16" l="1"/>
  <c r="F44" i="16" s="1"/>
  <c r="F45" i="16" s="1"/>
  <c r="F40" i="16"/>
  <c r="F41" i="16" s="1"/>
  <c r="F61" i="17"/>
  <c r="F62" i="17" s="1"/>
  <c r="G123" i="16"/>
  <c r="G127" i="16" s="1"/>
  <c r="G64" i="17"/>
  <c r="G65" i="17" s="1"/>
  <c r="G66" i="17" s="1"/>
  <c r="H37" i="16"/>
  <c r="G18" i="17"/>
  <c r="G19" i="17" s="1"/>
  <c r="G39" i="16"/>
  <c r="H27" i="16"/>
  <c r="G14" i="17"/>
  <c r="G15" i="17" s="1"/>
  <c r="G103" i="16"/>
  <c r="G56" i="17"/>
  <c r="G113" i="16"/>
  <c r="G117" i="16" s="1"/>
  <c r="G60" i="17"/>
  <c r="G69" i="17"/>
  <c r="G70" i="17" s="1"/>
  <c r="E36" i="32"/>
  <c r="E31" i="32"/>
  <c r="E37" i="32" s="1"/>
  <c r="H133" i="16"/>
  <c r="H137" i="16" s="1"/>
  <c r="H68" i="17"/>
  <c r="C37" i="32"/>
  <c r="F57" i="17"/>
  <c r="F58" i="17" s="1"/>
  <c r="G7" i="22"/>
  <c r="G12" i="13"/>
  <c r="H7" i="22"/>
  <c r="H12" i="13"/>
  <c r="H8" i="22"/>
  <c r="H14" i="13"/>
  <c r="H8" i="20" s="1"/>
  <c r="G8" i="22"/>
  <c r="G14" i="13"/>
  <c r="G8" i="20" s="1"/>
  <c r="G6" i="22"/>
  <c r="H6" i="22"/>
  <c r="H10" i="13"/>
  <c r="H6" i="20" s="1"/>
  <c r="G10" i="13"/>
  <c r="G6" i="20" s="1"/>
  <c r="G44" i="17"/>
  <c r="G45" i="17" s="1"/>
  <c r="F4" i="32"/>
  <c r="F5" i="32" s="1"/>
  <c r="F11" i="32" s="1"/>
  <c r="G19" i="30" s="1"/>
  <c r="G36" i="17"/>
  <c r="G37" i="17" s="1"/>
  <c r="G11" i="17"/>
  <c r="G12" i="17" s="1"/>
  <c r="G23" i="17" s="1"/>
  <c r="E4" i="32"/>
  <c r="D10" i="32"/>
  <c r="D5" i="32"/>
  <c r="D11" i="32" s="1"/>
  <c r="E19" i="30" s="1"/>
  <c r="E48" i="17"/>
  <c r="E17" i="32" s="1"/>
  <c r="D11" i="6"/>
  <c r="D11" i="33" s="1"/>
  <c r="D12" i="6"/>
  <c r="D12" i="33" s="1"/>
  <c r="D10" i="6"/>
  <c r="D10" i="33" s="1"/>
  <c r="D13" i="6"/>
  <c r="D13" i="33" s="1"/>
  <c r="D28" i="15"/>
  <c r="C15" i="3"/>
  <c r="C17" i="3" s="1"/>
  <c r="C18" i="3" s="1"/>
  <c r="C19" i="3" s="1"/>
  <c r="C22" i="13" s="1"/>
  <c r="C19" i="6"/>
  <c r="C19" i="33"/>
  <c r="D6" i="6"/>
  <c r="D7" i="6"/>
  <c r="D7" i="33" s="1"/>
  <c r="D5" i="6"/>
  <c r="D8" i="6"/>
  <c r="D8" i="33" s="1"/>
  <c r="C6" i="6"/>
  <c r="C6" i="33" s="1"/>
  <c r="C7" i="6"/>
  <c r="C8" i="6"/>
  <c r="C5" i="6"/>
  <c r="C24" i="32"/>
  <c r="D16" i="6"/>
  <c r="D16" i="33" s="1"/>
  <c r="D15" i="6"/>
  <c r="D15" i="33" s="1"/>
  <c r="D17" i="6"/>
  <c r="D17" i="33" s="1"/>
  <c r="D18" i="6"/>
  <c r="H7" i="17"/>
  <c r="H8" i="17" s="1"/>
  <c r="C16" i="6"/>
  <c r="C16" i="33" s="1"/>
  <c r="C17" i="6"/>
  <c r="C17" i="33" s="1"/>
  <c r="C15" i="6"/>
  <c r="C18" i="6"/>
  <c r="C18" i="33" s="1"/>
  <c r="B13" i="6"/>
  <c r="B12" i="6"/>
  <c r="B11" i="6"/>
  <c r="B10" i="6"/>
  <c r="B29" i="13"/>
  <c r="B19" i="22" s="1"/>
  <c r="B25" i="13"/>
  <c r="B17" i="22" s="1"/>
  <c r="B27" i="13"/>
  <c r="B18" i="22" s="1"/>
  <c r="B31" i="13"/>
  <c r="B20" i="22" s="1"/>
  <c r="B23" i="13"/>
  <c r="B16" i="22" s="1"/>
  <c r="F32" i="17"/>
  <c r="F33" i="17" s="1"/>
  <c r="F48" i="17" s="1"/>
  <c r="F17" i="32" s="1"/>
  <c r="H54" i="16"/>
  <c r="G31" i="17"/>
  <c r="C5" i="32"/>
  <c r="C10" i="32"/>
  <c r="C27" i="6"/>
  <c r="C27" i="33" s="1"/>
  <c r="C26" i="6"/>
  <c r="C26" i="33" s="1"/>
  <c r="C25" i="6"/>
  <c r="C25" i="33" s="1"/>
  <c r="C28" i="6"/>
  <c r="B8" i="6"/>
  <c r="B6" i="6"/>
  <c r="B5" i="6"/>
  <c r="B7" i="6"/>
  <c r="B15" i="6"/>
  <c r="B15" i="33" s="1"/>
  <c r="B16" i="6"/>
  <c r="B18" i="6"/>
  <c r="B17" i="6"/>
  <c r="B13" i="14"/>
  <c r="B15" i="14" s="1"/>
  <c r="C9" i="30" s="1"/>
  <c r="B19" i="33"/>
  <c r="B19" i="6"/>
  <c r="D19" i="33"/>
  <c r="D19" i="6"/>
  <c r="C10" i="6"/>
  <c r="C10" i="33" s="1"/>
  <c r="C13" i="6"/>
  <c r="C13" i="33" s="1"/>
  <c r="C11" i="6"/>
  <c r="C12" i="6"/>
  <c r="C12" i="33" s="1"/>
  <c r="B28" i="6"/>
  <c r="B28" i="33" s="1"/>
  <c r="B26" i="6"/>
  <c r="B26" i="33" s="1"/>
  <c r="B27" i="6"/>
  <c r="B25" i="6"/>
  <c r="B25" i="33" s="1"/>
  <c r="D26" i="6"/>
  <c r="D26" i="33" s="1"/>
  <c r="D28" i="6"/>
  <c r="D28" i="33" s="1"/>
  <c r="D25" i="6"/>
  <c r="D25" i="33" s="1"/>
  <c r="D27" i="6"/>
  <c r="D15" i="13"/>
  <c r="D13" i="14"/>
  <c r="C15" i="13"/>
  <c r="C13" i="14"/>
  <c r="H6" i="13"/>
  <c r="H4" i="20" s="1"/>
  <c r="B18" i="14"/>
  <c r="C10" i="30" s="1"/>
  <c r="H5" i="20"/>
  <c r="G6" i="13"/>
  <c r="G4" i="20" s="1"/>
  <c r="B15" i="13"/>
  <c r="J11" i="13"/>
  <c r="J5" i="22"/>
  <c r="J13" i="13"/>
  <c r="J9" i="13"/>
  <c r="J5" i="13"/>
  <c r="J4" i="22" s="1"/>
  <c r="C12" i="14"/>
  <c r="D8" i="30" s="1"/>
  <c r="B6" i="14"/>
  <c r="B12" i="14"/>
  <c r="B9" i="14"/>
  <c r="G5" i="20"/>
  <c r="F13" i="13"/>
  <c r="F9" i="13"/>
  <c r="F5" i="13"/>
  <c r="F4" i="22" s="1"/>
  <c r="F5" i="22"/>
  <c r="F11" i="13"/>
  <c r="I11" i="13"/>
  <c r="I13" i="13"/>
  <c r="I5" i="13"/>
  <c r="I4" i="22" s="1"/>
  <c r="I5" i="22"/>
  <c r="I9" i="13"/>
  <c r="K11" i="13"/>
  <c r="K5" i="22"/>
  <c r="K13" i="13"/>
  <c r="K5" i="13"/>
  <c r="K4" i="22" s="1"/>
  <c r="K9" i="13"/>
  <c r="D6" i="14"/>
  <c r="E6" i="30" s="1"/>
  <c r="E13" i="13"/>
  <c r="E9" i="13"/>
  <c r="E5" i="22"/>
  <c r="E5" i="13"/>
  <c r="E4" i="22" s="1"/>
  <c r="E11" i="13"/>
  <c r="F20" i="16"/>
  <c r="F21" i="16" s="1"/>
  <c r="F70" i="16"/>
  <c r="F71" i="16" s="1"/>
  <c r="F72" i="16" s="1"/>
  <c r="E108" i="16"/>
  <c r="E109" i="16" s="1"/>
  <c r="F11" i="16"/>
  <c r="H74" i="16"/>
  <c r="H39" i="17" s="1"/>
  <c r="H40" i="17" s="1"/>
  <c r="H41" i="17" s="1"/>
  <c r="G76" i="16"/>
  <c r="H64" i="16"/>
  <c r="H35" i="17" s="1"/>
  <c r="G66" i="16"/>
  <c r="G70" i="16" s="1"/>
  <c r="H17" i="16"/>
  <c r="H10" i="17" s="1"/>
  <c r="G19" i="16"/>
  <c r="G23" i="16" s="1"/>
  <c r="H43" i="17"/>
  <c r="G86" i="16"/>
  <c r="G10" i="16"/>
  <c r="G11" i="16" s="1"/>
  <c r="G15" i="16" s="1"/>
  <c r="G13" i="16"/>
  <c r="F61" i="16"/>
  <c r="F62" i="16" s="1"/>
  <c r="I7" i="16"/>
  <c r="I6" i="17" s="1"/>
  <c r="H9" i="16"/>
  <c r="F90" i="16"/>
  <c r="F91" i="16" s="1"/>
  <c r="F87" i="16"/>
  <c r="F88" i="16" s="1"/>
  <c r="E91" i="16"/>
  <c r="E92" i="16" s="1"/>
  <c r="E118" i="16"/>
  <c r="E119" i="16" s="1"/>
  <c r="H111" i="16"/>
  <c r="E105" i="16"/>
  <c r="G134" i="16"/>
  <c r="G135" i="16" s="1"/>
  <c r="F138" i="16"/>
  <c r="F114" i="16"/>
  <c r="F115" i="16" s="1"/>
  <c r="F107" i="16"/>
  <c r="F104" i="16"/>
  <c r="I131" i="16"/>
  <c r="H121" i="16"/>
  <c r="H101" i="16"/>
  <c r="E128" i="16"/>
  <c r="E129" i="16" s="1"/>
  <c r="F124" i="16"/>
  <c r="F125" i="16" s="1"/>
  <c r="G56" i="16"/>
  <c r="G60" i="16" s="1"/>
  <c r="E81" i="16"/>
  <c r="E58" i="16"/>
  <c r="F57" i="16"/>
  <c r="F77" i="16"/>
  <c r="F78" i="16" s="1"/>
  <c r="F80" i="16"/>
  <c r="G33" i="16"/>
  <c r="G30" i="16"/>
  <c r="G31" i="16" s="1"/>
  <c r="F34" i="16"/>
  <c r="F35" i="16" s="1"/>
  <c r="H29" i="16"/>
  <c r="L7" i="3"/>
  <c r="H69" i="17" l="1"/>
  <c r="H70" i="17" s="1"/>
  <c r="G61" i="17"/>
  <c r="G62" i="17" s="1"/>
  <c r="I37" i="16"/>
  <c r="H18" i="17"/>
  <c r="H39" i="16"/>
  <c r="G57" i="17"/>
  <c r="G58" i="17" s="1"/>
  <c r="F73" i="17"/>
  <c r="F30" i="32" s="1"/>
  <c r="H103" i="16"/>
  <c r="H56" i="17"/>
  <c r="H123" i="16"/>
  <c r="H127" i="16" s="1"/>
  <c r="H64" i="17"/>
  <c r="H65" i="17" s="1"/>
  <c r="H66" i="17" s="1"/>
  <c r="I27" i="16"/>
  <c r="H14" i="17"/>
  <c r="H15" i="17" s="1"/>
  <c r="H16" i="17" s="1"/>
  <c r="G43" i="16"/>
  <c r="G44" i="16" s="1"/>
  <c r="G45" i="16" s="1"/>
  <c r="G40" i="16"/>
  <c r="G41" i="16" s="1"/>
  <c r="H113" i="16"/>
  <c r="H117" i="16" s="1"/>
  <c r="H60" i="17"/>
  <c r="I133" i="16"/>
  <c r="I137" i="16" s="1"/>
  <c r="I68" i="17"/>
  <c r="F8" i="22"/>
  <c r="F14" i="13"/>
  <c r="F8" i="20" s="1"/>
  <c r="J8" i="22"/>
  <c r="J14" i="13"/>
  <c r="J8" i="20" s="1"/>
  <c r="C15" i="14"/>
  <c r="D9" i="30" s="1"/>
  <c r="E7" i="22"/>
  <c r="E12" i="13"/>
  <c r="F7" i="22"/>
  <c r="F12" i="13"/>
  <c r="D15" i="14"/>
  <c r="E9" i="30" s="1"/>
  <c r="H10" i="22"/>
  <c r="I24" i="30" s="1"/>
  <c r="E8" i="22"/>
  <c r="E14" i="13"/>
  <c r="E8" i="20" s="1"/>
  <c r="I8" i="22"/>
  <c r="I14" i="13"/>
  <c r="I8" i="20" s="1"/>
  <c r="I7" i="22"/>
  <c r="I12" i="13"/>
  <c r="J7" i="22"/>
  <c r="J12" i="13"/>
  <c r="K8" i="22"/>
  <c r="K14" i="13"/>
  <c r="K8" i="20" s="1"/>
  <c r="K7" i="22"/>
  <c r="K12" i="13"/>
  <c r="G10" i="22"/>
  <c r="H24" i="30" s="1"/>
  <c r="F10" i="32"/>
  <c r="B22" i="22"/>
  <c r="E6" i="22"/>
  <c r="I6" i="22"/>
  <c r="F6" i="22"/>
  <c r="K6" i="22"/>
  <c r="J6" i="22"/>
  <c r="B26" i="13"/>
  <c r="B17" i="20" s="1"/>
  <c r="B30" i="13"/>
  <c r="B37" i="14" s="1"/>
  <c r="B24" i="13"/>
  <c r="B16" i="20" s="1"/>
  <c r="B32" i="13"/>
  <c r="B20" i="20" s="1"/>
  <c r="B28" i="13"/>
  <c r="B18" i="20" s="1"/>
  <c r="K10" i="13"/>
  <c r="K6" i="20" s="1"/>
  <c r="J10" i="13"/>
  <c r="J6" i="20" s="1"/>
  <c r="I10" i="13"/>
  <c r="I6" i="20" s="1"/>
  <c r="F10" i="13"/>
  <c r="F6" i="20" s="1"/>
  <c r="E10" i="13"/>
  <c r="E6" i="20" s="1"/>
  <c r="D16" i="13"/>
  <c r="D9" i="20" s="1"/>
  <c r="D10" i="20" s="1"/>
  <c r="E23" i="30" s="1"/>
  <c r="H44" i="17"/>
  <c r="H45" i="17" s="1"/>
  <c r="H11" i="17"/>
  <c r="H12" i="17" s="1"/>
  <c r="H23" i="17" s="1"/>
  <c r="H36" i="17"/>
  <c r="H37" i="17" s="1"/>
  <c r="E5" i="32"/>
  <c r="E11" i="32" s="1"/>
  <c r="F19" i="30" s="1"/>
  <c r="E10" i="32"/>
  <c r="H9" i="6"/>
  <c r="H9" i="33"/>
  <c r="B5" i="33"/>
  <c r="C5" i="33"/>
  <c r="B27" i="33"/>
  <c r="B6" i="33"/>
  <c r="B18" i="33"/>
  <c r="B8" i="33"/>
  <c r="G32" i="17"/>
  <c r="G33" i="17" s="1"/>
  <c r="G48" i="17" s="1"/>
  <c r="G17" i="32" s="1"/>
  <c r="D18" i="33"/>
  <c r="C7" i="33"/>
  <c r="B17" i="33"/>
  <c r="G24" i="33"/>
  <c r="G24" i="6"/>
  <c r="B16" i="33"/>
  <c r="C28" i="33"/>
  <c r="I54" i="16"/>
  <c r="H31" i="17"/>
  <c r="C15" i="33"/>
  <c r="H10" i="14"/>
  <c r="H12" i="14" s="1"/>
  <c r="I8" i="30" s="1"/>
  <c r="H14" i="33"/>
  <c r="H14" i="6"/>
  <c r="I7" i="17"/>
  <c r="I8" i="17" s="1"/>
  <c r="G10" i="14"/>
  <c r="G12" i="14" s="1"/>
  <c r="H8" i="30" s="1"/>
  <c r="G14" i="33"/>
  <c r="G14" i="6"/>
  <c r="H4" i="14"/>
  <c r="H4" i="33"/>
  <c r="H4" i="6"/>
  <c r="D27" i="33"/>
  <c r="D21" i="6"/>
  <c r="D21" i="33" s="1"/>
  <c r="D22" i="6"/>
  <c r="D22" i="33" s="1"/>
  <c r="D20" i="6"/>
  <c r="D20" i="33" s="1"/>
  <c r="D23" i="6"/>
  <c r="D23" i="33" s="1"/>
  <c r="B10" i="33"/>
  <c r="C20" i="6"/>
  <c r="C20" i="33" s="1"/>
  <c r="C23" i="6"/>
  <c r="C23" i="33" s="1"/>
  <c r="C21" i="6"/>
  <c r="C21" i="33" s="1"/>
  <c r="C22" i="6"/>
  <c r="C8" i="33"/>
  <c r="H24" i="33"/>
  <c r="H24" i="6"/>
  <c r="B11" i="33"/>
  <c r="D5" i="33"/>
  <c r="C27" i="13"/>
  <c r="C18" i="22" s="1"/>
  <c r="C31" i="13"/>
  <c r="C20" i="22" s="1"/>
  <c r="C23" i="13"/>
  <c r="C16" i="22" s="1"/>
  <c r="C25" i="13"/>
  <c r="C17" i="22" s="1"/>
  <c r="C29" i="13"/>
  <c r="C19" i="22" s="1"/>
  <c r="E18" i="32"/>
  <c r="E23" i="32"/>
  <c r="C11" i="32"/>
  <c r="D19" i="30" s="1"/>
  <c r="C11" i="33"/>
  <c r="B23" i="6"/>
  <c r="B23" i="33" s="1"/>
  <c r="B21" i="6"/>
  <c r="B21" i="33" s="1"/>
  <c r="B22" i="6"/>
  <c r="B22" i="33" s="1"/>
  <c r="B20" i="6"/>
  <c r="B12" i="33"/>
  <c r="D15" i="3"/>
  <c r="D17" i="3" s="1"/>
  <c r="E28" i="15"/>
  <c r="F18" i="32"/>
  <c r="F24" i="32" s="1"/>
  <c r="F23" i="32"/>
  <c r="G9" i="6"/>
  <c r="G9" i="33"/>
  <c r="G4" i="14"/>
  <c r="G4" i="6"/>
  <c r="G4" i="33"/>
  <c r="C16" i="13"/>
  <c r="B7" i="33"/>
  <c r="B13" i="33"/>
  <c r="D6" i="33"/>
  <c r="G4" i="32"/>
  <c r="H16" i="14"/>
  <c r="H18" i="14" s="1"/>
  <c r="I10" i="30" s="1"/>
  <c r="G7" i="14"/>
  <c r="G9" i="14" s="1"/>
  <c r="H7" i="30" s="1"/>
  <c r="H7" i="14"/>
  <c r="H9" i="14" s="1"/>
  <c r="I7" i="30" s="1"/>
  <c r="G16" i="14"/>
  <c r="G18" i="14" s="1"/>
  <c r="H10" i="30" s="1"/>
  <c r="E6" i="13"/>
  <c r="E4" i="20" s="1"/>
  <c r="K5" i="20"/>
  <c r="C6" i="30"/>
  <c r="E5" i="20"/>
  <c r="K6" i="13"/>
  <c r="K4" i="20" s="1"/>
  <c r="I6" i="13"/>
  <c r="I4" i="20" s="1"/>
  <c r="C7" i="30"/>
  <c r="J6" i="13"/>
  <c r="J4" i="20" s="1"/>
  <c r="B16" i="13"/>
  <c r="B9" i="20" s="1"/>
  <c r="H7" i="20"/>
  <c r="C8" i="30"/>
  <c r="F5" i="20"/>
  <c r="G7" i="20"/>
  <c r="I5" i="20"/>
  <c r="F6" i="13"/>
  <c r="F4" i="20" s="1"/>
  <c r="J5" i="20"/>
  <c r="G20" i="16"/>
  <c r="G21" i="16" s="1"/>
  <c r="G67" i="16"/>
  <c r="G68" i="16" s="1"/>
  <c r="I43" i="17"/>
  <c r="H86" i="16"/>
  <c r="F15" i="16"/>
  <c r="G24" i="16"/>
  <c r="G25" i="16" s="1"/>
  <c r="H10" i="16"/>
  <c r="H14" i="16" s="1"/>
  <c r="H13" i="16"/>
  <c r="G14" i="16"/>
  <c r="I64" i="16"/>
  <c r="I35" i="17" s="1"/>
  <c r="H66" i="16"/>
  <c r="H70" i="16" s="1"/>
  <c r="I74" i="16"/>
  <c r="I39" i="17" s="1"/>
  <c r="I40" i="17" s="1"/>
  <c r="I41" i="17" s="1"/>
  <c r="H76" i="16"/>
  <c r="G61" i="16"/>
  <c r="G62" i="16" s="1"/>
  <c r="F108" i="16"/>
  <c r="F109" i="16" s="1"/>
  <c r="J7" i="16"/>
  <c r="J6" i="17" s="1"/>
  <c r="I9" i="16"/>
  <c r="I17" i="16"/>
  <c r="I10" i="17" s="1"/>
  <c r="H19" i="16"/>
  <c r="H23" i="16" s="1"/>
  <c r="H24" i="16" s="1"/>
  <c r="H25" i="16" s="1"/>
  <c r="F105" i="16"/>
  <c r="F92" i="16"/>
  <c r="G90" i="16"/>
  <c r="G87" i="16"/>
  <c r="G88" i="16" s="1"/>
  <c r="H134" i="16"/>
  <c r="H135" i="16" s="1"/>
  <c r="F118" i="16"/>
  <c r="F119" i="16" s="1"/>
  <c r="G138" i="16"/>
  <c r="G139" i="16" s="1"/>
  <c r="F128" i="16"/>
  <c r="F129" i="16" s="1"/>
  <c r="I121" i="16"/>
  <c r="F139" i="16"/>
  <c r="I101" i="16"/>
  <c r="G124" i="16"/>
  <c r="G125" i="16" s="1"/>
  <c r="I111" i="16"/>
  <c r="G104" i="16"/>
  <c r="G105" i="16" s="1"/>
  <c r="G107" i="16"/>
  <c r="J131" i="16"/>
  <c r="G114" i="16"/>
  <c r="G115" i="16" s="1"/>
  <c r="H56" i="16"/>
  <c r="H60" i="16" s="1"/>
  <c r="G80" i="16"/>
  <c r="G77" i="16"/>
  <c r="G78" i="16" s="1"/>
  <c r="F81" i="16"/>
  <c r="F82" i="16" s="1"/>
  <c r="G71" i="16"/>
  <c r="G72" i="16" s="1"/>
  <c r="F58" i="16"/>
  <c r="E82" i="16"/>
  <c r="G57" i="16"/>
  <c r="H30" i="16"/>
  <c r="H31" i="16" s="1"/>
  <c r="H33" i="16"/>
  <c r="I29" i="16"/>
  <c r="G34" i="16"/>
  <c r="G35" i="16" s="1"/>
  <c r="N5" i="3"/>
  <c r="M7" i="3"/>
  <c r="M8" i="3" s="1"/>
  <c r="M9" i="3" s="1"/>
  <c r="M4" i="13" s="1"/>
  <c r="M7" i="13" s="1"/>
  <c r="M8" i="13" s="1"/>
  <c r="L8" i="3"/>
  <c r="G73" i="17" l="1"/>
  <c r="G30" i="32" s="1"/>
  <c r="I113" i="16"/>
  <c r="I117" i="16" s="1"/>
  <c r="I60" i="17"/>
  <c r="F36" i="32"/>
  <c r="F31" i="32"/>
  <c r="I103" i="16"/>
  <c r="I56" i="17"/>
  <c r="J133" i="16"/>
  <c r="J137" i="16" s="1"/>
  <c r="J68" i="17"/>
  <c r="J37" i="16"/>
  <c r="I18" i="17"/>
  <c r="I19" i="17" s="1"/>
  <c r="I39" i="16"/>
  <c r="I69" i="17"/>
  <c r="I70" i="17" s="1"/>
  <c r="J27" i="16"/>
  <c r="I14" i="17"/>
  <c r="I15" i="17" s="1"/>
  <c r="I16" i="17" s="1"/>
  <c r="I123" i="16"/>
  <c r="I127" i="16" s="1"/>
  <c r="I64" i="17"/>
  <c r="I65" i="17" s="1"/>
  <c r="I66" i="17" s="1"/>
  <c r="H61" i="17"/>
  <c r="H62" i="17" s="1"/>
  <c r="H43" i="16"/>
  <c r="H44" i="16" s="1"/>
  <c r="H45" i="16" s="1"/>
  <c r="H40" i="16"/>
  <c r="H41" i="16" s="1"/>
  <c r="H57" i="17"/>
  <c r="H58" i="17" s="1"/>
  <c r="H19" i="17"/>
  <c r="B43" i="6"/>
  <c r="B46" i="6" s="1"/>
  <c r="B44" i="33"/>
  <c r="J10" i="22"/>
  <c r="K24" i="30" s="1"/>
  <c r="B28" i="14"/>
  <c r="B30" i="14" s="1"/>
  <c r="K10" i="22"/>
  <c r="L24" i="30" s="1"/>
  <c r="B64" i="33"/>
  <c r="B63" i="6"/>
  <c r="B66" i="6" s="1"/>
  <c r="F10" i="22"/>
  <c r="G24" i="30" s="1"/>
  <c r="B40" i="14"/>
  <c r="B42" i="14" s="1"/>
  <c r="B58" i="6"/>
  <c r="B61" i="6" s="1"/>
  <c r="I10" i="22"/>
  <c r="J24" i="30" s="1"/>
  <c r="B59" i="33"/>
  <c r="B48" i="6"/>
  <c r="B49" i="6" s="1"/>
  <c r="B34" i="14"/>
  <c r="B36" i="14" s="1"/>
  <c r="C22" i="22"/>
  <c r="B49" i="33"/>
  <c r="B33" i="13"/>
  <c r="B34" i="13" s="1"/>
  <c r="B31" i="14"/>
  <c r="B33" i="14" s="1"/>
  <c r="B19" i="20"/>
  <c r="B53" i="6"/>
  <c r="B55" i="6" s="1"/>
  <c r="B54" i="33"/>
  <c r="E10" i="22"/>
  <c r="F24" i="30" s="1"/>
  <c r="D19" i="14"/>
  <c r="D21" i="14" s="1"/>
  <c r="D29" i="6"/>
  <c r="D30" i="6" s="1"/>
  <c r="D29" i="33"/>
  <c r="C30" i="13"/>
  <c r="C37" i="14" s="1"/>
  <c r="C39" i="14" s="1"/>
  <c r="C26" i="13"/>
  <c r="C17" i="20" s="1"/>
  <c r="C24" i="13"/>
  <c r="C16" i="20" s="1"/>
  <c r="C32" i="13"/>
  <c r="C20" i="20" s="1"/>
  <c r="C28" i="13"/>
  <c r="C18" i="20" s="1"/>
  <c r="C9" i="20"/>
  <c r="C10" i="20" s="1"/>
  <c r="D23" i="30" s="1"/>
  <c r="I44" i="17"/>
  <c r="I45" i="17" s="1"/>
  <c r="I11" i="17"/>
  <c r="I12" i="17" s="1"/>
  <c r="I36" i="17"/>
  <c r="I37" i="17" s="1"/>
  <c r="I10" i="14"/>
  <c r="I12" i="14" s="1"/>
  <c r="J8" i="30" s="1"/>
  <c r="I14" i="6"/>
  <c r="I14" i="33"/>
  <c r="J7" i="17"/>
  <c r="J8" i="17" s="1"/>
  <c r="E16" i="14"/>
  <c r="E18" i="14" s="1"/>
  <c r="F10" i="30" s="1"/>
  <c r="E24" i="33"/>
  <c r="E24" i="6"/>
  <c r="K4" i="14"/>
  <c r="K4" i="6"/>
  <c r="K4" i="33"/>
  <c r="G15" i="6"/>
  <c r="G15" i="33" s="1"/>
  <c r="G18" i="6"/>
  <c r="G18" i="33" s="1"/>
  <c r="G17" i="6"/>
  <c r="G16" i="6"/>
  <c r="G16" i="33" s="1"/>
  <c r="H16" i="6"/>
  <c r="H16" i="33" s="1"/>
  <c r="H17" i="6"/>
  <c r="H17" i="33" s="1"/>
  <c r="H15" i="6"/>
  <c r="H15" i="33" s="1"/>
  <c r="H18" i="6"/>
  <c r="H18" i="33" s="1"/>
  <c r="B39" i="14"/>
  <c r="F4" i="33"/>
  <c r="F4" i="6"/>
  <c r="H19" i="6"/>
  <c r="H19" i="33"/>
  <c r="J24" i="33"/>
  <c r="J24" i="6"/>
  <c r="G10" i="32"/>
  <c r="G5" i="32"/>
  <c r="E24" i="32"/>
  <c r="G18" i="32"/>
  <c r="G24" i="32" s="1"/>
  <c r="G23" i="32"/>
  <c r="J9" i="33"/>
  <c r="J9" i="6"/>
  <c r="E7" i="14"/>
  <c r="E9" i="6"/>
  <c r="E9" i="33"/>
  <c r="I9" i="33"/>
  <c r="I9" i="6"/>
  <c r="F24" i="33"/>
  <c r="F24" i="6"/>
  <c r="B19" i="14"/>
  <c r="B29" i="33"/>
  <c r="B29" i="6"/>
  <c r="G5" i="6"/>
  <c r="G8" i="6"/>
  <c r="G7" i="6"/>
  <c r="G7" i="33" s="1"/>
  <c r="G6" i="6"/>
  <c r="G6" i="33" s="1"/>
  <c r="F28" i="15"/>
  <c r="E15" i="3"/>
  <c r="E17" i="3" s="1"/>
  <c r="E18" i="3" s="1"/>
  <c r="E19" i="3" s="1"/>
  <c r="E22" i="13" s="1"/>
  <c r="C19" i="14"/>
  <c r="C29" i="33"/>
  <c r="C29" i="6"/>
  <c r="E10" i="14"/>
  <c r="E14" i="33"/>
  <c r="E14" i="6"/>
  <c r="J10" i="14"/>
  <c r="J12" i="14" s="1"/>
  <c r="K8" i="30" s="1"/>
  <c r="J14" i="33"/>
  <c r="J14" i="6"/>
  <c r="J4" i="14"/>
  <c r="J4" i="6"/>
  <c r="J4" i="33"/>
  <c r="F10" i="14"/>
  <c r="F14" i="33"/>
  <c r="F14" i="6"/>
  <c r="D18" i="3"/>
  <c r="B20" i="33"/>
  <c r="H26" i="6"/>
  <c r="H26" i="33" s="1"/>
  <c r="H27" i="6"/>
  <c r="H27" i="33" s="1"/>
  <c r="H28" i="6"/>
  <c r="H28" i="33" s="1"/>
  <c r="H25" i="6"/>
  <c r="H25" i="33" s="1"/>
  <c r="C22" i="33"/>
  <c r="H6" i="6"/>
  <c r="H7" i="6"/>
  <c r="H7" i="33" s="1"/>
  <c r="H5" i="6"/>
  <c r="H5" i="33" s="1"/>
  <c r="H8" i="6"/>
  <c r="H8" i="33" s="1"/>
  <c r="K9" i="33"/>
  <c r="K9" i="6"/>
  <c r="G25" i="6"/>
  <c r="G25" i="33" s="1"/>
  <c r="G28" i="6"/>
  <c r="G28" i="33" s="1"/>
  <c r="G27" i="6"/>
  <c r="G27" i="33" s="1"/>
  <c r="G26" i="6"/>
  <c r="H4" i="32"/>
  <c r="G13" i="14"/>
  <c r="G19" i="6"/>
  <c r="G19" i="33"/>
  <c r="I24" i="33"/>
  <c r="I24" i="6"/>
  <c r="I4" i="14"/>
  <c r="I4" i="6"/>
  <c r="I4" i="33"/>
  <c r="K10" i="14"/>
  <c r="K12" i="14" s="1"/>
  <c r="L8" i="30" s="1"/>
  <c r="K14" i="6"/>
  <c r="K14" i="33"/>
  <c r="G10" i="6"/>
  <c r="G10" i="33" s="1"/>
  <c r="G12" i="6"/>
  <c r="G12" i="33" s="1"/>
  <c r="G11" i="6"/>
  <c r="G11" i="33" s="1"/>
  <c r="G13" i="6"/>
  <c r="G13" i="33" s="1"/>
  <c r="H32" i="17"/>
  <c r="H33" i="17" s="1"/>
  <c r="H11" i="6"/>
  <c r="H11" i="33" s="1"/>
  <c r="H10" i="6"/>
  <c r="H13" i="6"/>
  <c r="H13" i="33" s="1"/>
  <c r="H12" i="6"/>
  <c r="F9" i="6"/>
  <c r="F9" i="33"/>
  <c r="K24" i="6"/>
  <c r="K24" i="33"/>
  <c r="E4" i="14"/>
  <c r="E4" i="33"/>
  <c r="E4" i="6"/>
  <c r="J54" i="16"/>
  <c r="I31" i="17"/>
  <c r="K7" i="14"/>
  <c r="K9" i="14" s="1"/>
  <c r="L7" i="30" s="1"/>
  <c r="F7" i="14"/>
  <c r="F9" i="14" s="1"/>
  <c r="G7" i="30" s="1"/>
  <c r="G15" i="13"/>
  <c r="I16" i="14"/>
  <c r="I18" i="14" s="1"/>
  <c r="J10" i="30" s="1"/>
  <c r="K16" i="14"/>
  <c r="K18" i="14" s="1"/>
  <c r="L10" i="30" s="1"/>
  <c r="J7" i="14"/>
  <c r="J9" i="14" s="1"/>
  <c r="K7" i="30" s="1"/>
  <c r="F4" i="14"/>
  <c r="F6" i="14" s="1"/>
  <c r="G6" i="30" s="1"/>
  <c r="I7" i="14"/>
  <c r="I9" i="14" s="1"/>
  <c r="J7" i="30" s="1"/>
  <c r="F16" i="14"/>
  <c r="F18" i="14" s="1"/>
  <c r="G10" i="30" s="1"/>
  <c r="H15" i="13"/>
  <c r="H13" i="14"/>
  <c r="J16" i="14"/>
  <c r="J18" i="14" s="1"/>
  <c r="K10" i="30" s="1"/>
  <c r="E7" i="20"/>
  <c r="K7" i="20"/>
  <c r="J7" i="20"/>
  <c r="I7" i="20"/>
  <c r="H6" i="14"/>
  <c r="I6" i="30" s="1"/>
  <c r="M13" i="13"/>
  <c r="M9" i="13"/>
  <c r="M11" i="13"/>
  <c r="M5" i="22"/>
  <c r="M5" i="13"/>
  <c r="M4" i="22" s="1"/>
  <c r="G6" i="14"/>
  <c r="H6" i="30" s="1"/>
  <c r="F7" i="20"/>
  <c r="H11" i="16"/>
  <c r="H15" i="16" s="1"/>
  <c r="H67" i="16"/>
  <c r="H68" i="16" s="1"/>
  <c r="H20" i="16"/>
  <c r="H21" i="16" s="1"/>
  <c r="I13" i="16"/>
  <c r="I10" i="16"/>
  <c r="G108" i="16"/>
  <c r="G109" i="16" s="1"/>
  <c r="J17" i="16"/>
  <c r="J10" i="17" s="1"/>
  <c r="I19" i="16"/>
  <c r="I23" i="16" s="1"/>
  <c r="I24" i="16" s="1"/>
  <c r="I25" i="16" s="1"/>
  <c r="K7" i="16"/>
  <c r="K6" i="17" s="1"/>
  <c r="J9" i="16"/>
  <c r="J64" i="16"/>
  <c r="J35" i="17" s="1"/>
  <c r="I66" i="16"/>
  <c r="I70" i="16" s="1"/>
  <c r="J43" i="17"/>
  <c r="I86" i="16"/>
  <c r="H61" i="16"/>
  <c r="H62" i="16" s="1"/>
  <c r="J74" i="16"/>
  <c r="J39" i="17" s="1"/>
  <c r="J40" i="17" s="1"/>
  <c r="J41" i="17" s="1"/>
  <c r="I76" i="16"/>
  <c r="G91" i="16"/>
  <c r="G92" i="16" s="1"/>
  <c r="H90" i="16"/>
  <c r="H87" i="16"/>
  <c r="H88" i="16" s="1"/>
  <c r="K131" i="16"/>
  <c r="H104" i="16"/>
  <c r="H107" i="16"/>
  <c r="H124" i="16"/>
  <c r="H125" i="16" s="1"/>
  <c r="G118" i="16"/>
  <c r="G119" i="16" s="1"/>
  <c r="I134" i="16"/>
  <c r="I135" i="16" s="1"/>
  <c r="J121" i="16"/>
  <c r="H138" i="16"/>
  <c r="H139" i="16" s="1"/>
  <c r="J111" i="16"/>
  <c r="G128" i="16"/>
  <c r="G129" i="16" s="1"/>
  <c r="H114" i="16"/>
  <c r="H115" i="16" s="1"/>
  <c r="J101" i="16"/>
  <c r="I56" i="16"/>
  <c r="I60" i="16" s="1"/>
  <c r="H80" i="16"/>
  <c r="H77" i="16"/>
  <c r="H78" i="16" s="1"/>
  <c r="H71" i="16"/>
  <c r="H72" i="16" s="1"/>
  <c r="H57" i="16"/>
  <c r="G58" i="16"/>
  <c r="G81" i="16"/>
  <c r="G82" i="16" s="1"/>
  <c r="J29" i="16"/>
  <c r="I30" i="16"/>
  <c r="I31" i="16" s="1"/>
  <c r="I33" i="16"/>
  <c r="H34" i="16"/>
  <c r="H35" i="16" s="1"/>
  <c r="N7" i="3"/>
  <c r="N6" i="3" s="1"/>
  <c r="L9" i="3"/>
  <c r="N8" i="3"/>
  <c r="I23" i="17" l="1"/>
  <c r="H73" i="17"/>
  <c r="H30" i="32" s="1"/>
  <c r="I40" i="16"/>
  <c r="I41" i="16" s="1"/>
  <c r="I43" i="16"/>
  <c r="I44" i="16" s="1"/>
  <c r="I45" i="16" s="1"/>
  <c r="F37" i="32"/>
  <c r="K37" i="16"/>
  <c r="J18" i="17"/>
  <c r="J39" i="16"/>
  <c r="J69" i="17"/>
  <c r="J70" i="17" s="1"/>
  <c r="I61" i="17"/>
  <c r="I62" i="17" s="1"/>
  <c r="J103" i="16"/>
  <c r="J56" i="17"/>
  <c r="J113" i="16"/>
  <c r="J117" i="16" s="1"/>
  <c r="J60" i="17"/>
  <c r="K133" i="16"/>
  <c r="K137" i="16" s="1"/>
  <c r="K68" i="17"/>
  <c r="J14" i="17"/>
  <c r="J15" i="17" s="1"/>
  <c r="J16" i="17" s="1"/>
  <c r="K27" i="16"/>
  <c r="I57" i="17"/>
  <c r="I58" i="17" s="1"/>
  <c r="J123" i="16"/>
  <c r="J127" i="16" s="1"/>
  <c r="J64" i="17"/>
  <c r="J65" i="17" s="1"/>
  <c r="J66" i="17" s="1"/>
  <c r="G36" i="32"/>
  <c r="G31" i="32"/>
  <c r="G37" i="32" s="1"/>
  <c r="B50" i="6"/>
  <c r="B51" i="33" s="1"/>
  <c r="B59" i="6"/>
  <c r="B60" i="33" s="1"/>
  <c r="B44" i="6"/>
  <c r="B45" i="33" s="1"/>
  <c r="B47" i="6"/>
  <c r="B45" i="6"/>
  <c r="B46" i="33" s="1"/>
  <c r="B64" i="6"/>
  <c r="B65" i="33" s="1"/>
  <c r="B67" i="6"/>
  <c r="B68" i="33" s="1"/>
  <c r="D31" i="6"/>
  <c r="D31" i="33" s="1"/>
  <c r="D35" i="33" s="1"/>
  <c r="B65" i="6"/>
  <c r="B66" i="33" s="1"/>
  <c r="B60" i="6"/>
  <c r="B61" i="33" s="1"/>
  <c r="C58" i="6"/>
  <c r="C62" i="6" s="1"/>
  <c r="C63" i="33" s="1"/>
  <c r="B62" i="6"/>
  <c r="B63" i="33" s="1"/>
  <c r="C59" i="33"/>
  <c r="C19" i="20"/>
  <c r="D33" i="6"/>
  <c r="D33" i="33" s="1"/>
  <c r="D37" i="33" s="1"/>
  <c r="D32" i="6"/>
  <c r="D32" i="33" s="1"/>
  <c r="D36" i="33" s="1"/>
  <c r="C64" i="33"/>
  <c r="B52" i="6"/>
  <c r="B53" i="33" s="1"/>
  <c r="B51" i="6"/>
  <c r="B52" i="33" s="1"/>
  <c r="C40" i="14"/>
  <c r="C42" i="14" s="1"/>
  <c r="M7" i="22"/>
  <c r="M12" i="13"/>
  <c r="G15" i="14"/>
  <c r="H9" i="30" s="1"/>
  <c r="H15" i="14"/>
  <c r="I9" i="30" s="1"/>
  <c r="M8" i="22"/>
  <c r="M14" i="13"/>
  <c r="M8" i="20" s="1"/>
  <c r="C63" i="6"/>
  <c r="C66" i="6" s="1"/>
  <c r="C67" i="33" s="1"/>
  <c r="C54" i="33"/>
  <c r="C34" i="14"/>
  <c r="C36" i="14" s="1"/>
  <c r="D22" i="14"/>
  <c r="E11" i="30"/>
  <c r="E14" i="30" s="1"/>
  <c r="B21" i="14"/>
  <c r="C31" i="14"/>
  <c r="C33" i="14" s="1"/>
  <c r="C53" i="6"/>
  <c r="C57" i="6" s="1"/>
  <c r="C58" i="33" s="1"/>
  <c r="C43" i="6"/>
  <c r="C45" i="6" s="1"/>
  <c r="C44" i="33"/>
  <c r="C28" i="14"/>
  <c r="C30" i="14" s="1"/>
  <c r="B57" i="6"/>
  <c r="B58" i="33" s="1"/>
  <c r="B54" i="6"/>
  <c r="B55" i="33" s="1"/>
  <c r="C49" i="33"/>
  <c r="B56" i="6"/>
  <c r="B57" i="33" s="1"/>
  <c r="C48" i="6"/>
  <c r="C51" i="6" s="1"/>
  <c r="C52" i="33" s="1"/>
  <c r="B43" i="14"/>
  <c r="B45" i="14" s="1"/>
  <c r="B46" i="14" s="1"/>
  <c r="B69" i="33"/>
  <c r="B68" i="6"/>
  <c r="B69" i="6" s="1"/>
  <c r="C33" i="13"/>
  <c r="C34" i="13" s="1"/>
  <c r="B21" i="20"/>
  <c r="B22" i="20" s="1"/>
  <c r="M6" i="22"/>
  <c r="M10" i="13"/>
  <c r="M6" i="20" s="1"/>
  <c r="G16" i="13"/>
  <c r="G29" i="33" s="1"/>
  <c r="J44" i="17"/>
  <c r="J45" i="17" s="1"/>
  <c r="J11" i="17"/>
  <c r="J12" i="17" s="1"/>
  <c r="J36" i="17"/>
  <c r="J37" i="17" s="1"/>
  <c r="H48" i="17"/>
  <c r="H17" i="32" s="1"/>
  <c r="I13" i="14"/>
  <c r="I19" i="33"/>
  <c r="I19" i="6"/>
  <c r="F19" i="6"/>
  <c r="F19" i="33"/>
  <c r="I32" i="17"/>
  <c r="I33" i="17" s="1"/>
  <c r="I48" i="17" s="1"/>
  <c r="I17" i="32" s="1"/>
  <c r="E8" i="6"/>
  <c r="E6" i="6"/>
  <c r="E5" i="6"/>
  <c r="E7" i="6"/>
  <c r="F8" i="6"/>
  <c r="F8" i="33" s="1"/>
  <c r="F5" i="6"/>
  <c r="F5" i="33" s="1"/>
  <c r="F6" i="6"/>
  <c r="F7" i="6"/>
  <c r="B47" i="33"/>
  <c r="H10" i="33"/>
  <c r="F18" i="6"/>
  <c r="F18" i="33" s="1"/>
  <c r="F15" i="6"/>
  <c r="F15" i="33" s="1"/>
  <c r="F16" i="6"/>
  <c r="F16" i="33" s="1"/>
  <c r="F17" i="6"/>
  <c r="F17" i="33" s="1"/>
  <c r="F28" i="6"/>
  <c r="F28" i="33" s="1"/>
  <c r="F25" i="6"/>
  <c r="F25" i="33" s="1"/>
  <c r="F26" i="6"/>
  <c r="F26" i="33" s="1"/>
  <c r="F27" i="6"/>
  <c r="F27" i="33" s="1"/>
  <c r="J27" i="6"/>
  <c r="J27" i="33" s="1"/>
  <c r="J26" i="6"/>
  <c r="J26" i="33" s="1"/>
  <c r="J28" i="6"/>
  <c r="J28" i="33" s="1"/>
  <c r="J25" i="6"/>
  <c r="J25" i="33" s="1"/>
  <c r="B62" i="33"/>
  <c r="E13" i="14"/>
  <c r="E19" i="6"/>
  <c r="E19" i="33"/>
  <c r="K27" i="6"/>
  <c r="K27" i="33" s="1"/>
  <c r="K26" i="6"/>
  <c r="K26" i="33" s="1"/>
  <c r="K28" i="6"/>
  <c r="K25" i="6"/>
  <c r="K15" i="6"/>
  <c r="K15" i="33" s="1"/>
  <c r="K17" i="6"/>
  <c r="K17" i="33" s="1"/>
  <c r="K18" i="6"/>
  <c r="K18" i="33" s="1"/>
  <c r="K16" i="6"/>
  <c r="K16" i="33" s="1"/>
  <c r="E18" i="6"/>
  <c r="E16" i="6"/>
  <c r="E17" i="6"/>
  <c r="E15" i="6"/>
  <c r="G8" i="33"/>
  <c r="B48" i="33"/>
  <c r="E15" i="13"/>
  <c r="E16" i="13" s="1"/>
  <c r="G20" i="6"/>
  <c r="G20" i="33" s="1"/>
  <c r="G22" i="6"/>
  <c r="G22" i="33" s="1"/>
  <c r="G21" i="6"/>
  <c r="G23" i="6"/>
  <c r="G23" i="33" s="1"/>
  <c r="K10" i="6"/>
  <c r="K10" i="33" s="1"/>
  <c r="K13" i="6"/>
  <c r="K13" i="33" s="1"/>
  <c r="K12" i="6"/>
  <c r="K11" i="6"/>
  <c r="K11" i="33" s="1"/>
  <c r="G5" i="33"/>
  <c r="I12" i="6"/>
  <c r="I12" i="33" s="1"/>
  <c r="I11" i="6"/>
  <c r="I11" i="33" s="1"/>
  <c r="I10" i="6"/>
  <c r="I13" i="6"/>
  <c r="I13" i="33" s="1"/>
  <c r="G17" i="33"/>
  <c r="K5" i="6"/>
  <c r="K5" i="33" s="1"/>
  <c r="K7" i="6"/>
  <c r="K7" i="33" s="1"/>
  <c r="K8" i="6"/>
  <c r="K8" i="33" s="1"/>
  <c r="K6" i="6"/>
  <c r="I17" i="6"/>
  <c r="I17" i="33" s="1"/>
  <c r="I15" i="6"/>
  <c r="I15" i="33" s="1"/>
  <c r="I18" i="6"/>
  <c r="I18" i="33" s="1"/>
  <c r="I16" i="6"/>
  <c r="H16" i="13"/>
  <c r="H9" i="20" s="1"/>
  <c r="H10" i="20" s="1"/>
  <c r="I23" i="30" s="1"/>
  <c r="K54" i="16"/>
  <c r="J31" i="17"/>
  <c r="F12" i="6"/>
  <c r="F12" i="33" s="1"/>
  <c r="F13" i="6"/>
  <c r="F10" i="6"/>
  <c r="F10" i="33" s="1"/>
  <c r="F11" i="6"/>
  <c r="F11" i="33" s="1"/>
  <c r="I7" i="6"/>
  <c r="I5" i="6"/>
  <c r="I5" i="33" s="1"/>
  <c r="I8" i="6"/>
  <c r="I6" i="6"/>
  <c r="I6" i="33" s="1"/>
  <c r="H5" i="32"/>
  <c r="H11" i="32" s="1"/>
  <c r="I19" i="30" s="1"/>
  <c r="H10" i="32"/>
  <c r="J5" i="6"/>
  <c r="J5" i="33" s="1"/>
  <c r="J6" i="6"/>
  <c r="J7" i="6"/>
  <c r="J8" i="6"/>
  <c r="C30" i="6"/>
  <c r="C33" i="6"/>
  <c r="C31" i="6"/>
  <c r="C32" i="6"/>
  <c r="B10" i="20"/>
  <c r="C23" i="30" s="1"/>
  <c r="E12" i="6"/>
  <c r="E10" i="6"/>
  <c r="E13" i="6"/>
  <c r="E11" i="6"/>
  <c r="B67" i="33"/>
  <c r="H21" i="6"/>
  <c r="H21" i="33" s="1"/>
  <c r="H22" i="6"/>
  <c r="H22" i="33" s="1"/>
  <c r="H20" i="6"/>
  <c r="H20" i="33" s="1"/>
  <c r="H23" i="6"/>
  <c r="I4" i="32"/>
  <c r="J13" i="14"/>
  <c r="J19" i="33"/>
  <c r="J19" i="6"/>
  <c r="B50" i="33"/>
  <c r="K19" i="33"/>
  <c r="K19" i="6"/>
  <c r="E29" i="13"/>
  <c r="E19" i="22" s="1"/>
  <c r="E25" i="13"/>
  <c r="E17" i="22" s="1"/>
  <c r="E31" i="13"/>
  <c r="E20" i="22" s="1"/>
  <c r="E27" i="13"/>
  <c r="E18" i="22" s="1"/>
  <c r="E23" i="13"/>
  <c r="E16" i="22" s="1"/>
  <c r="H12" i="33"/>
  <c r="I27" i="6"/>
  <c r="I27" i="33" s="1"/>
  <c r="I25" i="6"/>
  <c r="I25" i="33" s="1"/>
  <c r="I28" i="6"/>
  <c r="I28" i="33" s="1"/>
  <c r="I26" i="6"/>
  <c r="I26" i="33" s="1"/>
  <c r="B56" i="33"/>
  <c r="J17" i="6"/>
  <c r="J17" i="33" s="1"/>
  <c r="J18" i="6"/>
  <c r="J18" i="33" s="1"/>
  <c r="J16" i="6"/>
  <c r="J16" i="33" s="1"/>
  <c r="J15" i="6"/>
  <c r="C21" i="14"/>
  <c r="F15" i="3"/>
  <c r="F17" i="3" s="1"/>
  <c r="F18" i="3" s="1"/>
  <c r="F19" i="3" s="1"/>
  <c r="F22" i="13" s="1"/>
  <c r="G28" i="15"/>
  <c r="D30" i="33"/>
  <c r="D34" i="33" s="1"/>
  <c r="D34" i="6"/>
  <c r="J13" i="6"/>
  <c r="J13" i="33" s="1"/>
  <c r="J11" i="6"/>
  <c r="J11" i="33" s="1"/>
  <c r="J10" i="6"/>
  <c r="J10" i="33" s="1"/>
  <c r="J12" i="6"/>
  <c r="J12" i="33" s="1"/>
  <c r="G11" i="32"/>
  <c r="H19" i="30" s="1"/>
  <c r="K7" i="17"/>
  <c r="K8" i="17" s="1"/>
  <c r="B33" i="6"/>
  <c r="B32" i="6"/>
  <c r="B31" i="6"/>
  <c r="B30" i="6"/>
  <c r="E27" i="6"/>
  <c r="E26" i="6"/>
  <c r="E26" i="33" s="1"/>
  <c r="E28" i="6"/>
  <c r="E25" i="6"/>
  <c r="G26" i="33"/>
  <c r="H6" i="33"/>
  <c r="D19" i="3"/>
  <c r="I15" i="13"/>
  <c r="J15" i="13"/>
  <c r="F15" i="13"/>
  <c r="F13" i="14"/>
  <c r="K15" i="13"/>
  <c r="K13" i="14"/>
  <c r="E12" i="14"/>
  <c r="F8" i="30" s="1"/>
  <c r="M6" i="13"/>
  <c r="M4" i="20" s="1"/>
  <c r="E9" i="14"/>
  <c r="F7" i="30" s="1"/>
  <c r="M5" i="20"/>
  <c r="K6" i="14"/>
  <c r="L6" i="30" s="1"/>
  <c r="I6" i="14"/>
  <c r="J6" i="30" s="1"/>
  <c r="E6" i="14"/>
  <c r="F6" i="30" s="1"/>
  <c r="J6" i="14"/>
  <c r="K6" i="30" s="1"/>
  <c r="F12" i="14"/>
  <c r="G8" i="30" s="1"/>
  <c r="I67" i="16"/>
  <c r="I68" i="16" s="1"/>
  <c r="I20" i="16"/>
  <c r="I21" i="16" s="1"/>
  <c r="I61" i="16"/>
  <c r="I62" i="16" s="1"/>
  <c r="L7" i="16"/>
  <c r="L6" i="17" s="1"/>
  <c r="K9" i="16"/>
  <c r="K17" i="16"/>
  <c r="K10" i="17" s="1"/>
  <c r="J19" i="16"/>
  <c r="J23" i="16" s="1"/>
  <c r="J24" i="16" s="1"/>
  <c r="J25" i="16" s="1"/>
  <c r="K74" i="16"/>
  <c r="K39" i="17" s="1"/>
  <c r="K40" i="17" s="1"/>
  <c r="K41" i="17" s="1"/>
  <c r="J76" i="16"/>
  <c r="K43" i="17"/>
  <c r="J86" i="16"/>
  <c r="H108" i="16"/>
  <c r="H109" i="16" s="1"/>
  <c r="I14" i="16"/>
  <c r="K64" i="16"/>
  <c r="K35" i="17" s="1"/>
  <c r="J66" i="16"/>
  <c r="J70" i="16" s="1"/>
  <c r="I11" i="16"/>
  <c r="J13" i="16"/>
  <c r="J10" i="16"/>
  <c r="J14" i="16" s="1"/>
  <c r="H91" i="16"/>
  <c r="H92" i="16" s="1"/>
  <c r="I90" i="16"/>
  <c r="I87" i="16"/>
  <c r="I88" i="16" s="1"/>
  <c r="K121" i="16"/>
  <c r="I114" i="16"/>
  <c r="I115" i="16" s="1"/>
  <c r="I124" i="16"/>
  <c r="I125" i="16" s="1"/>
  <c r="K111" i="16"/>
  <c r="K101" i="16"/>
  <c r="H118" i="16"/>
  <c r="H119" i="16" s="1"/>
  <c r="H128" i="16"/>
  <c r="H129" i="16" s="1"/>
  <c r="L131" i="16"/>
  <c r="I107" i="16"/>
  <c r="I104" i="16"/>
  <c r="I105" i="16" s="1"/>
  <c r="I138" i="16"/>
  <c r="I139" i="16" s="1"/>
  <c r="H105" i="16"/>
  <c r="J134" i="16"/>
  <c r="J135" i="16" s="1"/>
  <c r="J56" i="16"/>
  <c r="J60" i="16" s="1"/>
  <c r="I71" i="16"/>
  <c r="I72" i="16" s="1"/>
  <c r="I77" i="16"/>
  <c r="I78" i="16" s="1"/>
  <c r="I80" i="16"/>
  <c r="I57" i="16"/>
  <c r="H58" i="16"/>
  <c r="H81" i="16"/>
  <c r="H82" i="16" s="1"/>
  <c r="K29" i="16"/>
  <c r="I34" i="16"/>
  <c r="I35" i="16" s="1"/>
  <c r="J33" i="16"/>
  <c r="J30" i="16"/>
  <c r="J31" i="16" s="1"/>
  <c r="L4" i="13"/>
  <c r="L7" i="13" s="1"/>
  <c r="L8" i="13" s="1"/>
  <c r="N9" i="3"/>
  <c r="I73" i="17" l="1"/>
  <c r="I30" i="32" s="1"/>
  <c r="L37" i="16"/>
  <c r="K18" i="17"/>
  <c r="K19" i="17" s="1"/>
  <c r="K20" i="17" s="1"/>
  <c r="K39" i="16"/>
  <c r="L133" i="16"/>
  <c r="L137" i="16" s="1"/>
  <c r="L68" i="17"/>
  <c r="K14" i="17"/>
  <c r="K15" i="17" s="1"/>
  <c r="K16" i="17" s="1"/>
  <c r="L27" i="16"/>
  <c r="L29" i="16" s="1"/>
  <c r="K103" i="16"/>
  <c r="K56" i="17"/>
  <c r="K69" i="17"/>
  <c r="K70" i="17" s="1"/>
  <c r="K113" i="16"/>
  <c r="K117" i="16" s="1"/>
  <c r="K60" i="17"/>
  <c r="J61" i="17"/>
  <c r="J62" i="17" s="1"/>
  <c r="K123" i="16"/>
  <c r="K127" i="16" s="1"/>
  <c r="K64" i="17"/>
  <c r="K65" i="17" s="1"/>
  <c r="K66" i="17" s="1"/>
  <c r="J43" i="16"/>
  <c r="J44" i="16" s="1"/>
  <c r="J45" i="16" s="1"/>
  <c r="J40" i="16"/>
  <c r="J41" i="16" s="1"/>
  <c r="J57" i="17"/>
  <c r="J58" i="17" s="1"/>
  <c r="J19" i="17"/>
  <c r="J20" i="17" s="1"/>
  <c r="J23" i="17" s="1"/>
  <c r="J4" i="32" s="1"/>
  <c r="J5" i="32" s="1"/>
  <c r="J11" i="32" s="1"/>
  <c r="K19" i="30" s="1"/>
  <c r="H36" i="32"/>
  <c r="H31" i="32"/>
  <c r="H37" i="32" s="1"/>
  <c r="D35" i="6"/>
  <c r="C54" i="6"/>
  <c r="C55" i="33" s="1"/>
  <c r="C59" i="6"/>
  <c r="C60" i="33" s="1"/>
  <c r="C61" i="6"/>
  <c r="C62" i="33" s="1"/>
  <c r="C60" i="6"/>
  <c r="C61" i="33" s="1"/>
  <c r="C55" i="6"/>
  <c r="C56" i="33" s="1"/>
  <c r="C56" i="6"/>
  <c r="C57" i="33" s="1"/>
  <c r="C49" i="6"/>
  <c r="C50" i="33" s="1"/>
  <c r="C65" i="6"/>
  <c r="C66" i="33" s="1"/>
  <c r="D36" i="6"/>
  <c r="D37" i="6"/>
  <c r="C64" i="6"/>
  <c r="C65" i="33" s="1"/>
  <c r="C67" i="6"/>
  <c r="C68" i="33" s="1"/>
  <c r="C47" i="6"/>
  <c r="C48" i="33" s="1"/>
  <c r="C46" i="6"/>
  <c r="C47" i="33" s="1"/>
  <c r="C44" i="6"/>
  <c r="C45" i="33" s="1"/>
  <c r="M10" i="22"/>
  <c r="N24" i="30" s="1"/>
  <c r="I15" i="14"/>
  <c r="J9" i="30" s="1"/>
  <c r="K15" i="14"/>
  <c r="L9" i="30" s="1"/>
  <c r="J15" i="14"/>
  <c r="K9" i="30" s="1"/>
  <c r="E15" i="14"/>
  <c r="F9" i="30" s="1"/>
  <c r="F15" i="14"/>
  <c r="G9" i="30" s="1"/>
  <c r="C52" i="6"/>
  <c r="C53" i="33" s="1"/>
  <c r="C50" i="6"/>
  <c r="C51" i="33" s="1"/>
  <c r="C22" i="14"/>
  <c r="D11" i="30"/>
  <c r="D14" i="30" s="1"/>
  <c r="B22" i="14"/>
  <c r="C11" i="30"/>
  <c r="B73" i="6"/>
  <c r="B72" i="6"/>
  <c r="B76" i="6" s="1"/>
  <c r="B71" i="6"/>
  <c r="B75" i="6" s="1"/>
  <c r="B70" i="6"/>
  <c r="B74" i="6" s="1"/>
  <c r="C68" i="6"/>
  <c r="C71" i="6" s="1"/>
  <c r="C72" i="33" s="1"/>
  <c r="C69" i="33"/>
  <c r="C21" i="20"/>
  <c r="C22" i="20" s="1"/>
  <c r="E22" i="22"/>
  <c r="G29" i="6"/>
  <c r="G33" i="6" s="1"/>
  <c r="G33" i="33" s="1"/>
  <c r="G37" i="33" s="1"/>
  <c r="G19" i="14"/>
  <c r="G9" i="20"/>
  <c r="G10" i="20" s="1"/>
  <c r="H23" i="30" s="1"/>
  <c r="E32" i="13"/>
  <c r="E20" i="20" s="1"/>
  <c r="E26" i="13"/>
  <c r="E17" i="20" s="1"/>
  <c r="E30" i="13"/>
  <c r="E19" i="20" s="1"/>
  <c r="E24" i="13"/>
  <c r="E16" i="20" s="1"/>
  <c r="E28" i="13"/>
  <c r="E34" i="14" s="1"/>
  <c r="E36" i="14" s="1"/>
  <c r="C43" i="14"/>
  <c r="C45" i="14" s="1"/>
  <c r="C46" i="14" s="1"/>
  <c r="E9" i="20"/>
  <c r="K44" i="17"/>
  <c r="K45" i="17" s="1"/>
  <c r="K36" i="17"/>
  <c r="K37" i="17" s="1"/>
  <c r="K11" i="17"/>
  <c r="K12" i="17" s="1"/>
  <c r="I18" i="32"/>
  <c r="I24" i="32" s="1"/>
  <c r="I23" i="32"/>
  <c r="M24" i="33"/>
  <c r="M24" i="6"/>
  <c r="M10" i="14"/>
  <c r="M12" i="14" s="1"/>
  <c r="N8" i="30" s="1"/>
  <c r="M14" i="33"/>
  <c r="M14" i="6"/>
  <c r="I16" i="13"/>
  <c r="J6" i="33"/>
  <c r="F13" i="33"/>
  <c r="F22" i="6"/>
  <c r="F22" i="33" s="1"/>
  <c r="F20" i="6"/>
  <c r="F21" i="6"/>
  <c r="F23" i="6"/>
  <c r="F23" i="33" s="1"/>
  <c r="E19" i="14"/>
  <c r="E21" i="14" s="1"/>
  <c r="E29" i="6"/>
  <c r="E29" i="33"/>
  <c r="B31" i="33"/>
  <c r="B35" i="6"/>
  <c r="J23" i="6"/>
  <c r="J23" i="33" s="1"/>
  <c r="J21" i="6"/>
  <c r="J21" i="33" s="1"/>
  <c r="J20" i="6"/>
  <c r="J20" i="33" s="1"/>
  <c r="J22" i="6"/>
  <c r="J22" i="33" s="1"/>
  <c r="C32" i="33"/>
  <c r="C36" i="33" s="1"/>
  <c r="C36" i="6"/>
  <c r="G21" i="33"/>
  <c r="E17" i="33"/>
  <c r="I22" i="6"/>
  <c r="I22" i="33" s="1"/>
  <c r="I21" i="6"/>
  <c r="I21" i="33" s="1"/>
  <c r="I20" i="6"/>
  <c r="I20" i="33" s="1"/>
  <c r="I23" i="6"/>
  <c r="I23" i="33" s="1"/>
  <c r="H23" i="32"/>
  <c r="H18" i="32"/>
  <c r="M9" i="33"/>
  <c r="M9" i="6"/>
  <c r="E15" i="33"/>
  <c r="F16" i="13"/>
  <c r="B32" i="33"/>
  <c r="B36" i="6"/>
  <c r="D38" i="33"/>
  <c r="E22" i="30" s="1"/>
  <c r="C31" i="33"/>
  <c r="C35" i="33" s="1"/>
  <c r="C35" i="6"/>
  <c r="I8" i="33"/>
  <c r="J32" i="17"/>
  <c r="J33" i="17" s="1"/>
  <c r="J48" i="17" s="1"/>
  <c r="J17" i="32" s="1"/>
  <c r="K6" i="33"/>
  <c r="I10" i="33"/>
  <c r="E16" i="33"/>
  <c r="E7" i="33"/>
  <c r="D22" i="13"/>
  <c r="E25" i="33"/>
  <c r="B33" i="33"/>
  <c r="B37" i="6"/>
  <c r="K20" i="6"/>
  <c r="K20" i="33" s="1"/>
  <c r="K23" i="6"/>
  <c r="K23" i="33" s="1"/>
  <c r="K21" i="6"/>
  <c r="K21" i="33" s="1"/>
  <c r="K22" i="6"/>
  <c r="K22" i="33" s="1"/>
  <c r="H23" i="33"/>
  <c r="E11" i="33"/>
  <c r="C33" i="33"/>
  <c r="C37" i="33" s="1"/>
  <c r="C37" i="6"/>
  <c r="L54" i="16"/>
  <c r="K31" i="17"/>
  <c r="K12" i="33"/>
  <c r="E18" i="33"/>
  <c r="E22" i="6"/>
  <c r="E20" i="6"/>
  <c r="E21" i="6"/>
  <c r="E21" i="33" s="1"/>
  <c r="E23" i="6"/>
  <c r="E5" i="33"/>
  <c r="B30" i="33"/>
  <c r="B34" i="6"/>
  <c r="J15" i="33"/>
  <c r="E13" i="33"/>
  <c r="C30" i="33"/>
  <c r="C34" i="33" s="1"/>
  <c r="C34" i="6"/>
  <c r="I7" i="33"/>
  <c r="E6" i="33"/>
  <c r="L7" i="17"/>
  <c r="L8" i="17" s="1"/>
  <c r="K16" i="13"/>
  <c r="M4" i="14"/>
  <c r="M4" i="33"/>
  <c r="M4" i="6"/>
  <c r="B70" i="33"/>
  <c r="B74" i="33" s="1"/>
  <c r="F29" i="13"/>
  <c r="F19" i="22" s="1"/>
  <c r="F25" i="13"/>
  <c r="F17" i="22" s="1"/>
  <c r="F23" i="13"/>
  <c r="F16" i="22" s="1"/>
  <c r="F31" i="13"/>
  <c r="F20" i="22" s="1"/>
  <c r="F27" i="13"/>
  <c r="F18" i="22" s="1"/>
  <c r="E10" i="33"/>
  <c r="J8" i="33"/>
  <c r="H19" i="14"/>
  <c r="H29" i="33"/>
  <c r="H29" i="6"/>
  <c r="K25" i="33"/>
  <c r="F7" i="33"/>
  <c r="E8" i="33"/>
  <c r="C46" i="33"/>
  <c r="J16" i="13"/>
  <c r="E28" i="33"/>
  <c r="H28" i="15"/>
  <c r="G15" i="3"/>
  <c r="G17" i="3" s="1"/>
  <c r="E27" i="33"/>
  <c r="I10" i="32"/>
  <c r="I5" i="32"/>
  <c r="I11" i="32" s="1"/>
  <c r="J19" i="30" s="1"/>
  <c r="E12" i="33"/>
  <c r="J7" i="33"/>
  <c r="I16" i="33"/>
  <c r="K28" i="33"/>
  <c r="F6" i="33"/>
  <c r="M16" i="14"/>
  <c r="M18" i="14" s="1"/>
  <c r="N10" i="30" s="1"/>
  <c r="M7" i="14"/>
  <c r="M9" i="14" s="1"/>
  <c r="N7" i="30" s="1"/>
  <c r="M7" i="20"/>
  <c r="L13" i="13"/>
  <c r="L9" i="13"/>
  <c r="L5" i="13"/>
  <c r="L4" i="22" s="1"/>
  <c r="N4" i="22" s="1"/>
  <c r="L5" i="22"/>
  <c r="L11" i="13"/>
  <c r="J11" i="16"/>
  <c r="J15" i="16" s="1"/>
  <c r="I15" i="16"/>
  <c r="J67" i="16"/>
  <c r="J68" i="16" s="1"/>
  <c r="L17" i="16"/>
  <c r="L10" i="17" s="1"/>
  <c r="K19" i="16"/>
  <c r="K23" i="16" s="1"/>
  <c r="L74" i="16"/>
  <c r="L39" i="17" s="1"/>
  <c r="L40" i="17" s="1"/>
  <c r="L41" i="17" s="1"/>
  <c r="K76" i="16"/>
  <c r="J20" i="16"/>
  <c r="J21" i="16" s="1"/>
  <c r="I108" i="16"/>
  <c r="I109" i="16" s="1"/>
  <c r="L64" i="16"/>
  <c r="L35" i="17" s="1"/>
  <c r="K66" i="16"/>
  <c r="K67" i="16" s="1"/>
  <c r="K68" i="16" s="1"/>
  <c r="K13" i="16"/>
  <c r="K10" i="16"/>
  <c r="K14" i="16" s="1"/>
  <c r="M7" i="16"/>
  <c r="M6" i="17" s="1"/>
  <c r="L9" i="16"/>
  <c r="J61" i="16"/>
  <c r="J62" i="16" s="1"/>
  <c r="L43" i="17"/>
  <c r="K86" i="16"/>
  <c r="J90" i="16"/>
  <c r="J91" i="16" s="1"/>
  <c r="J92" i="16" s="1"/>
  <c r="J87" i="16"/>
  <c r="J88" i="16" s="1"/>
  <c r="I91" i="16"/>
  <c r="I92" i="16" s="1"/>
  <c r="L101" i="16"/>
  <c r="J124" i="16"/>
  <c r="J125" i="16" s="1"/>
  <c r="J107" i="16"/>
  <c r="J104" i="16"/>
  <c r="I128" i="16"/>
  <c r="I129" i="16" s="1"/>
  <c r="M131" i="16"/>
  <c r="L111" i="16"/>
  <c r="I118" i="16"/>
  <c r="I119" i="16" s="1"/>
  <c r="J138" i="16"/>
  <c r="J139" i="16" s="1"/>
  <c r="K134" i="16"/>
  <c r="K135" i="16" s="1"/>
  <c r="J114" i="16"/>
  <c r="J115" i="16" s="1"/>
  <c r="L121" i="16"/>
  <c r="J71" i="16"/>
  <c r="J72" i="16" s="1"/>
  <c r="J57" i="16"/>
  <c r="I81" i="16"/>
  <c r="I82" i="16" s="1"/>
  <c r="K56" i="16"/>
  <c r="K60" i="16" s="1"/>
  <c r="I58" i="16"/>
  <c r="J77" i="16"/>
  <c r="J78" i="16" s="1"/>
  <c r="J80" i="16"/>
  <c r="J34" i="16"/>
  <c r="J35" i="16" s="1"/>
  <c r="K33" i="16"/>
  <c r="K30" i="16"/>
  <c r="K31" i="16" s="1"/>
  <c r="N4" i="13"/>
  <c r="K23" i="17" l="1"/>
  <c r="J73" i="17"/>
  <c r="J30" i="32" s="1"/>
  <c r="L103" i="16"/>
  <c r="L56" i="17"/>
  <c r="K40" i="16"/>
  <c r="K41" i="16" s="1"/>
  <c r="K43" i="16"/>
  <c r="K44" i="16" s="1"/>
  <c r="K45" i="16" s="1"/>
  <c r="K57" i="17"/>
  <c r="K58" i="17" s="1"/>
  <c r="K73" i="17" s="1"/>
  <c r="K30" i="32" s="1"/>
  <c r="M37" i="16"/>
  <c r="L18" i="17"/>
  <c r="L39" i="16"/>
  <c r="M133" i="16"/>
  <c r="M137" i="16" s="1"/>
  <c r="M68" i="17"/>
  <c r="L113" i="16"/>
  <c r="L117" i="16" s="1"/>
  <c r="L60" i="17"/>
  <c r="M27" i="16"/>
  <c r="M14" i="17" s="1"/>
  <c r="M15" i="17" s="1"/>
  <c r="M16" i="17" s="1"/>
  <c r="L14" i="17"/>
  <c r="L15" i="17" s="1"/>
  <c r="L16" i="17" s="1"/>
  <c r="I31" i="32"/>
  <c r="I37" i="32" s="1"/>
  <c r="I36" i="32"/>
  <c r="L123" i="16"/>
  <c r="L127" i="16" s="1"/>
  <c r="L64" i="17"/>
  <c r="L65" i="17" s="1"/>
  <c r="L66" i="17" s="1"/>
  <c r="K61" i="17"/>
  <c r="K62" i="17" s="1"/>
  <c r="L69" i="17"/>
  <c r="L70" i="17" s="1"/>
  <c r="G30" i="6"/>
  <c r="G30" i="33" s="1"/>
  <c r="G34" i="33" s="1"/>
  <c r="L8" i="22"/>
  <c r="N8" i="22" s="1"/>
  <c r="L14" i="13"/>
  <c r="E48" i="6"/>
  <c r="E51" i="6" s="1"/>
  <c r="E52" i="33" s="1"/>
  <c r="E40" i="14"/>
  <c r="E42" i="14" s="1"/>
  <c r="E58" i="6"/>
  <c r="E61" i="6" s="1"/>
  <c r="E62" i="33" s="1"/>
  <c r="E59" i="33"/>
  <c r="E31" i="14"/>
  <c r="E33" i="14" s="1"/>
  <c r="E49" i="33"/>
  <c r="L7" i="22"/>
  <c r="N7" i="22" s="1"/>
  <c r="L12" i="13"/>
  <c r="E37" i="14"/>
  <c r="E39" i="14" s="1"/>
  <c r="C69" i="6"/>
  <c r="C70" i="33" s="1"/>
  <c r="C74" i="33" s="1"/>
  <c r="B72" i="33"/>
  <c r="B76" i="33" s="1"/>
  <c r="B73" i="33"/>
  <c r="B77" i="33" s="1"/>
  <c r="B71" i="33"/>
  <c r="B75" i="33" s="1"/>
  <c r="E22" i="14"/>
  <c r="F11" i="30"/>
  <c r="F14" i="30" s="1"/>
  <c r="C14" i="30"/>
  <c r="G31" i="6"/>
  <c r="G31" i="33" s="1"/>
  <c r="G35" i="33" s="1"/>
  <c r="G32" i="6"/>
  <c r="G36" i="6" s="1"/>
  <c r="E43" i="6"/>
  <c r="E45" i="6" s="1"/>
  <c r="E44" i="33"/>
  <c r="C75" i="6"/>
  <c r="E28" i="14"/>
  <c r="E30" i="14" s="1"/>
  <c r="J10" i="32"/>
  <c r="E63" i="6"/>
  <c r="E65" i="6" s="1"/>
  <c r="E66" i="33" s="1"/>
  <c r="E64" i="33"/>
  <c r="C70" i="6"/>
  <c r="C72" i="6"/>
  <c r="F22" i="22"/>
  <c r="E53" i="6"/>
  <c r="E56" i="6" s="1"/>
  <c r="E57" i="33" s="1"/>
  <c r="G21" i="14"/>
  <c r="N5" i="22"/>
  <c r="E54" i="33"/>
  <c r="E33" i="13"/>
  <c r="E34" i="13" s="1"/>
  <c r="E69" i="33" s="1"/>
  <c r="E18" i="20"/>
  <c r="L6" i="22"/>
  <c r="N6" i="22" s="1"/>
  <c r="C76" i="33"/>
  <c r="F24" i="13"/>
  <c r="F16" i="20" s="1"/>
  <c r="F26" i="13"/>
  <c r="F17" i="20" s="1"/>
  <c r="F30" i="13"/>
  <c r="F19" i="20" s="1"/>
  <c r="F28" i="13"/>
  <c r="F18" i="20" s="1"/>
  <c r="F32" i="13"/>
  <c r="F20" i="20" s="1"/>
  <c r="L10" i="13"/>
  <c r="L6" i="20" s="1"/>
  <c r="K9" i="20"/>
  <c r="K10" i="20" s="1"/>
  <c r="L23" i="30" s="1"/>
  <c r="J9" i="20"/>
  <c r="J10" i="20" s="1"/>
  <c r="K23" i="30" s="1"/>
  <c r="I9" i="20"/>
  <c r="I10" i="20" s="1"/>
  <c r="J23" i="30" s="1"/>
  <c r="F9" i="20"/>
  <c r="F10" i="20" s="1"/>
  <c r="G23" i="30" s="1"/>
  <c r="L44" i="17"/>
  <c r="L45" i="17" s="1"/>
  <c r="G37" i="6"/>
  <c r="K4" i="32"/>
  <c r="K10" i="32" s="1"/>
  <c r="L36" i="17"/>
  <c r="L37" i="17" s="1"/>
  <c r="L11" i="17"/>
  <c r="L12" i="17" s="1"/>
  <c r="M13" i="14"/>
  <c r="M19" i="6"/>
  <c r="M19" i="33"/>
  <c r="E10" i="20"/>
  <c r="F23" i="30" s="1"/>
  <c r="E20" i="33"/>
  <c r="M17" i="6"/>
  <c r="M17" i="33" s="1"/>
  <c r="M16" i="6"/>
  <c r="M16" i="33" s="1"/>
  <c r="M15" i="6"/>
  <c r="M15" i="33" s="1"/>
  <c r="M18" i="6"/>
  <c r="M18" i="33" s="1"/>
  <c r="M12" i="6"/>
  <c r="M12" i="33" s="1"/>
  <c r="M10" i="6"/>
  <c r="M10" i="33" s="1"/>
  <c r="M11" i="6"/>
  <c r="M13" i="6"/>
  <c r="M13" i="33" s="1"/>
  <c r="H31" i="6"/>
  <c r="H30" i="6"/>
  <c r="H32" i="6"/>
  <c r="H33" i="6"/>
  <c r="M54" i="16"/>
  <c r="M31" i="17" s="1"/>
  <c r="L31" i="17"/>
  <c r="D29" i="13"/>
  <c r="D19" i="22" s="1"/>
  <c r="D25" i="13"/>
  <c r="D17" i="22" s="1"/>
  <c r="D31" i="13"/>
  <c r="D20" i="22" s="1"/>
  <c r="D23" i="13"/>
  <c r="D16" i="22" s="1"/>
  <c r="D27" i="13"/>
  <c r="D18" i="22" s="1"/>
  <c r="B36" i="33"/>
  <c r="K32" i="17"/>
  <c r="K33" i="17" s="1"/>
  <c r="K48" i="17" s="1"/>
  <c r="K17" i="32" s="1"/>
  <c r="M7" i="17"/>
  <c r="M8" i="17" s="1"/>
  <c r="N6" i="17"/>
  <c r="N13" i="13"/>
  <c r="J19" i="14"/>
  <c r="J29" i="33"/>
  <c r="J29" i="6"/>
  <c r="E32" i="6"/>
  <c r="E32" i="33" s="1"/>
  <c r="E30" i="6"/>
  <c r="E31" i="6"/>
  <c r="E33" i="6"/>
  <c r="M28" i="6"/>
  <c r="M28" i="33" s="1"/>
  <c r="M26" i="6"/>
  <c r="M26" i="33" s="1"/>
  <c r="M27" i="6"/>
  <c r="M25" i="6"/>
  <c r="M25" i="33" s="1"/>
  <c r="G18" i="3"/>
  <c r="H21" i="14"/>
  <c r="K19" i="14"/>
  <c r="K29" i="6"/>
  <c r="K29" i="33"/>
  <c r="F19" i="14"/>
  <c r="F29" i="33"/>
  <c r="F29" i="6"/>
  <c r="H24" i="32"/>
  <c r="I28" i="15"/>
  <c r="H15" i="3"/>
  <c r="H17" i="3" s="1"/>
  <c r="H18" i="3" s="1"/>
  <c r="H19" i="3" s="1"/>
  <c r="H22" i="13" s="1"/>
  <c r="M7" i="6"/>
  <c r="M7" i="33" s="1"/>
  <c r="M6" i="6"/>
  <c r="M6" i="33" s="1"/>
  <c r="M8" i="6"/>
  <c r="M5" i="6"/>
  <c r="E22" i="33"/>
  <c r="J18" i="32"/>
  <c r="J24" i="32" s="1"/>
  <c r="J23" i="32"/>
  <c r="C38" i="33"/>
  <c r="D22" i="30" s="1"/>
  <c r="E23" i="33"/>
  <c r="E50" i="6"/>
  <c r="E51" i="33" s="1"/>
  <c r="B37" i="33"/>
  <c r="F21" i="33"/>
  <c r="B35" i="33"/>
  <c r="B34" i="33"/>
  <c r="F20" i="33"/>
  <c r="I19" i="14"/>
  <c r="I29" i="33"/>
  <c r="I29" i="6"/>
  <c r="M15" i="13"/>
  <c r="L6" i="13"/>
  <c r="L4" i="20" s="1"/>
  <c r="N5" i="13"/>
  <c r="N11" i="13"/>
  <c r="N9" i="13"/>
  <c r="L5" i="20"/>
  <c r="N7" i="13"/>
  <c r="M6" i="14"/>
  <c r="N6" i="30" s="1"/>
  <c r="M74" i="16"/>
  <c r="L76" i="16"/>
  <c r="K70" i="16"/>
  <c r="K71" i="16" s="1"/>
  <c r="K72" i="16" s="1"/>
  <c r="M64" i="16"/>
  <c r="L66" i="16"/>
  <c r="L70" i="16" s="1"/>
  <c r="J108" i="16"/>
  <c r="J109" i="16" s="1"/>
  <c r="L86" i="16"/>
  <c r="K20" i="16"/>
  <c r="K21" i="16" s="1"/>
  <c r="K61" i="16"/>
  <c r="K62" i="16" s="1"/>
  <c r="K11" i="16"/>
  <c r="K15" i="16" s="1"/>
  <c r="L10" i="16"/>
  <c r="L14" i="16" s="1"/>
  <c r="L13" i="16"/>
  <c r="K24" i="16"/>
  <c r="K25" i="16" s="1"/>
  <c r="M9" i="16"/>
  <c r="N7" i="16"/>
  <c r="M17" i="16"/>
  <c r="L19" i="16"/>
  <c r="L23" i="16" s="1"/>
  <c r="L24" i="16" s="1"/>
  <c r="L25" i="16" s="1"/>
  <c r="K90" i="16"/>
  <c r="K87" i="16"/>
  <c r="K88" i="16" s="1"/>
  <c r="J118" i="16"/>
  <c r="J119" i="16" s="1"/>
  <c r="M101" i="16"/>
  <c r="J128" i="16"/>
  <c r="J129" i="16" s="1"/>
  <c r="K124" i="16"/>
  <c r="K125" i="16" s="1"/>
  <c r="N131" i="16"/>
  <c r="M111" i="16"/>
  <c r="K138" i="16"/>
  <c r="K139" i="16" s="1"/>
  <c r="K114" i="16"/>
  <c r="K115" i="16" s="1"/>
  <c r="K104" i="16"/>
  <c r="K107" i="16"/>
  <c r="M121" i="16"/>
  <c r="L134" i="16"/>
  <c r="L135" i="16" s="1"/>
  <c r="J105" i="16"/>
  <c r="J81" i="16"/>
  <c r="J82" i="16" s="1"/>
  <c r="K80" i="16"/>
  <c r="K77" i="16"/>
  <c r="K78" i="16" s="1"/>
  <c r="K57" i="16"/>
  <c r="L56" i="16"/>
  <c r="L60" i="16" s="1"/>
  <c r="J58" i="16"/>
  <c r="M29" i="16"/>
  <c r="K34" i="16"/>
  <c r="K35" i="16" s="1"/>
  <c r="L30" i="16"/>
  <c r="L31" i="16" s="1"/>
  <c r="L33" i="16"/>
  <c r="N16" i="17" l="1"/>
  <c r="N27" i="16"/>
  <c r="K31" i="32"/>
  <c r="K37" i="32" s="1"/>
  <c r="K36" i="32"/>
  <c r="M69" i="17"/>
  <c r="M70" i="17" s="1"/>
  <c r="N70" i="17" s="1"/>
  <c r="N68" i="17"/>
  <c r="L43" i="16"/>
  <c r="L44" i="16" s="1"/>
  <c r="L45" i="16" s="1"/>
  <c r="L40" i="16"/>
  <c r="L41" i="16" s="1"/>
  <c r="G35" i="6"/>
  <c r="L19" i="17"/>
  <c r="L20" i="17" s="1"/>
  <c r="L57" i="17"/>
  <c r="L58" i="17" s="1"/>
  <c r="M103" i="16"/>
  <c r="M56" i="17"/>
  <c r="M113" i="16"/>
  <c r="M117" i="16" s="1"/>
  <c r="M60" i="17"/>
  <c r="E52" i="6"/>
  <c r="E53" i="33" s="1"/>
  <c r="M18" i="17"/>
  <c r="M19" i="17" s="1"/>
  <c r="M20" i="17" s="1"/>
  <c r="M39" i="16"/>
  <c r="N37" i="16"/>
  <c r="E49" i="6"/>
  <c r="E50" i="33" s="1"/>
  <c r="L61" i="17"/>
  <c r="L62" i="17" s="1"/>
  <c r="M123" i="16"/>
  <c r="M127" i="16" s="1"/>
  <c r="M64" i="17"/>
  <c r="M65" i="17" s="1"/>
  <c r="M66" i="17" s="1"/>
  <c r="N66" i="17" s="1"/>
  <c r="J31" i="32"/>
  <c r="J37" i="32" s="1"/>
  <c r="J36" i="32"/>
  <c r="F49" i="33"/>
  <c r="G34" i="6"/>
  <c r="F31" i="14"/>
  <c r="F33" i="14" s="1"/>
  <c r="C73" i="6"/>
  <c r="F48" i="6"/>
  <c r="F50" i="6" s="1"/>
  <c r="F51" i="33" s="1"/>
  <c r="E44" i="6"/>
  <c r="E45" i="33" s="1"/>
  <c r="E60" i="6"/>
  <c r="E61" i="33" s="1"/>
  <c r="E46" i="6"/>
  <c r="E47" i="33" s="1"/>
  <c r="E47" i="6"/>
  <c r="E48" i="33" s="1"/>
  <c r="E62" i="6"/>
  <c r="E63" i="33" s="1"/>
  <c r="G32" i="33"/>
  <c r="G36" i="33" s="1"/>
  <c r="G38" i="33" s="1"/>
  <c r="H22" i="30" s="1"/>
  <c r="F59" i="33"/>
  <c r="E59" i="6"/>
  <c r="E60" i="33" s="1"/>
  <c r="M15" i="14"/>
  <c r="N9" i="30" s="1"/>
  <c r="F58" i="6"/>
  <c r="F60" i="6" s="1"/>
  <c r="F61" i="33" s="1"/>
  <c r="H22" i="14"/>
  <c r="I11" i="30"/>
  <c r="I14" i="30" s="1"/>
  <c r="G22" i="14"/>
  <c r="H11" i="30"/>
  <c r="H14" i="30" s="1"/>
  <c r="M76" i="16"/>
  <c r="M39" i="17"/>
  <c r="M40" i="17" s="1"/>
  <c r="M41" i="17" s="1"/>
  <c r="N41" i="17" s="1"/>
  <c r="E67" i="6"/>
  <c r="E68" i="33" s="1"/>
  <c r="E64" i="6"/>
  <c r="E65" i="33" s="1"/>
  <c r="F44" i="33"/>
  <c r="E66" i="6"/>
  <c r="E67" i="33" s="1"/>
  <c r="F43" i="6"/>
  <c r="F44" i="6" s="1"/>
  <c r="F37" i="14"/>
  <c r="F39" i="14" s="1"/>
  <c r="F28" i="14"/>
  <c r="F30" i="14" s="1"/>
  <c r="E57" i="6"/>
  <c r="E58" i="33" s="1"/>
  <c r="E54" i="6"/>
  <c r="E55" i="33" s="1"/>
  <c r="F34" i="14"/>
  <c r="F36" i="14" s="1"/>
  <c r="E55" i="6"/>
  <c r="E56" i="33" s="1"/>
  <c r="F63" i="6"/>
  <c r="F65" i="6" s="1"/>
  <c r="F66" i="33" s="1"/>
  <c r="B78" i="33"/>
  <c r="F64" i="33"/>
  <c r="F40" i="14"/>
  <c r="F42" i="14" s="1"/>
  <c r="C73" i="33"/>
  <c r="C77" i="33" s="1"/>
  <c r="C76" i="6"/>
  <c r="C71" i="33"/>
  <c r="C75" i="33" s="1"/>
  <c r="C74" i="6"/>
  <c r="D22" i="22"/>
  <c r="B7" i="21"/>
  <c r="D7" i="21"/>
  <c r="C7" i="21"/>
  <c r="B6" i="21"/>
  <c r="D6" i="21"/>
  <c r="C6" i="21"/>
  <c r="D3" i="21"/>
  <c r="C3" i="21"/>
  <c r="B3" i="21"/>
  <c r="D4" i="21"/>
  <c r="C4" i="21"/>
  <c r="B4" i="21"/>
  <c r="B5" i="21"/>
  <c r="D5" i="21"/>
  <c r="C5" i="21"/>
  <c r="F33" i="13"/>
  <c r="F53" i="6"/>
  <c r="F57" i="6" s="1"/>
  <c r="F58" i="33" s="1"/>
  <c r="N10" i="22"/>
  <c r="F54" i="33"/>
  <c r="L10" i="22"/>
  <c r="M24" i="30" s="1"/>
  <c r="E36" i="33"/>
  <c r="E43" i="14"/>
  <c r="E45" i="14" s="1"/>
  <c r="E46" i="14" s="1"/>
  <c r="E68" i="6"/>
  <c r="E69" i="6" s="1"/>
  <c r="E70" i="33" s="1"/>
  <c r="D24" i="13"/>
  <c r="D16" i="20" s="1"/>
  <c r="E21" i="20"/>
  <c r="E22" i="20" s="1"/>
  <c r="L8" i="20"/>
  <c r="N8" i="20" s="1"/>
  <c r="K5" i="32"/>
  <c r="K11" i="32" s="1"/>
  <c r="L19" i="30" s="1"/>
  <c r="M86" i="16"/>
  <c r="M43" i="17"/>
  <c r="M19" i="16"/>
  <c r="M23" i="16" s="1"/>
  <c r="M24" i="16" s="1"/>
  <c r="M25" i="16" s="1"/>
  <c r="M10" i="17"/>
  <c r="E36" i="6"/>
  <c r="M66" i="16"/>
  <c r="M67" i="16" s="1"/>
  <c r="M35" i="17"/>
  <c r="M16" i="13"/>
  <c r="M19" i="14" s="1"/>
  <c r="I31" i="6"/>
  <c r="I30" i="6"/>
  <c r="I33" i="6"/>
  <c r="I32" i="6"/>
  <c r="E31" i="33"/>
  <c r="E35" i="6"/>
  <c r="D26" i="13"/>
  <c r="D17" i="20" s="1"/>
  <c r="K30" i="6"/>
  <c r="K33" i="6"/>
  <c r="K32" i="6"/>
  <c r="K31" i="6"/>
  <c r="M11" i="33"/>
  <c r="L7" i="14"/>
  <c r="L9" i="33"/>
  <c r="N9" i="33" s="1"/>
  <c r="L9" i="6"/>
  <c r="I21" i="14"/>
  <c r="H31" i="13"/>
  <c r="H20" i="22" s="1"/>
  <c r="H27" i="13"/>
  <c r="H18" i="22" s="1"/>
  <c r="H23" i="13"/>
  <c r="H16" i="22" s="1"/>
  <c r="H25" i="13"/>
  <c r="H17" i="22" s="1"/>
  <c r="H29" i="13"/>
  <c r="H19" i="22" s="1"/>
  <c r="K21" i="14"/>
  <c r="G19" i="3"/>
  <c r="H33" i="33"/>
  <c r="H37" i="33" s="1"/>
  <c r="H37" i="6"/>
  <c r="L4" i="14"/>
  <c r="L4" i="6"/>
  <c r="L4" i="33"/>
  <c r="N4" i="33" s="1"/>
  <c r="E30" i="33"/>
  <c r="B38" i="33"/>
  <c r="C22" i="30" s="1"/>
  <c r="M5" i="33"/>
  <c r="J28" i="15"/>
  <c r="I15" i="3"/>
  <c r="I17" i="3" s="1"/>
  <c r="F21" i="14"/>
  <c r="M27" i="33"/>
  <c r="L32" i="17"/>
  <c r="L33" i="17" s="1"/>
  <c r="L48" i="17" s="1"/>
  <c r="L17" i="32" s="1"/>
  <c r="H32" i="33"/>
  <c r="H36" i="33" s="1"/>
  <c r="H36" i="6"/>
  <c r="L10" i="14"/>
  <c r="L14" i="33"/>
  <c r="N14" i="33" s="1"/>
  <c r="L14" i="6"/>
  <c r="M8" i="33"/>
  <c r="J33" i="6"/>
  <c r="J30" i="6"/>
  <c r="J31" i="6"/>
  <c r="J32" i="6"/>
  <c r="N8" i="17"/>
  <c r="M32" i="17"/>
  <c r="M33" i="17" s="1"/>
  <c r="N31" i="17"/>
  <c r="H30" i="33"/>
  <c r="H34" i="33" s="1"/>
  <c r="H34" i="6"/>
  <c r="N4" i="20"/>
  <c r="E46" i="33"/>
  <c r="F32" i="6"/>
  <c r="F33" i="6"/>
  <c r="F31" i="6"/>
  <c r="F30" i="6"/>
  <c r="D30" i="13"/>
  <c r="D19" i="20" s="1"/>
  <c r="E34" i="6"/>
  <c r="D28" i="13"/>
  <c r="D18" i="20" s="1"/>
  <c r="H31" i="33"/>
  <c r="H35" i="33" s="1"/>
  <c r="H35" i="6"/>
  <c r="L16" i="14"/>
  <c r="L18" i="14" s="1"/>
  <c r="M10" i="30" s="1"/>
  <c r="L24" i="6"/>
  <c r="L24" i="33"/>
  <c r="N24" i="33" s="1"/>
  <c r="K18" i="32"/>
  <c r="K24" i="32" s="1"/>
  <c r="K23" i="32"/>
  <c r="M22" i="6"/>
  <c r="M22" i="33" s="1"/>
  <c r="M20" i="6"/>
  <c r="M20" i="33" s="1"/>
  <c r="M21" i="6"/>
  <c r="M21" i="33" s="1"/>
  <c r="M23" i="6"/>
  <c r="M23" i="33" s="1"/>
  <c r="J21" i="14"/>
  <c r="E33" i="33"/>
  <c r="E37" i="6"/>
  <c r="D32" i="13"/>
  <c r="D20" i="20" s="1"/>
  <c r="N6" i="20"/>
  <c r="L7" i="20"/>
  <c r="N10" i="13"/>
  <c r="E5" i="21" s="1"/>
  <c r="N8" i="13"/>
  <c r="E4" i="21" s="1"/>
  <c r="N14" i="13"/>
  <c r="E7" i="21" s="1"/>
  <c r="N6" i="13"/>
  <c r="E3" i="21" s="1"/>
  <c r="L20" i="16"/>
  <c r="L21" i="16" s="1"/>
  <c r="L67" i="16"/>
  <c r="L68" i="16" s="1"/>
  <c r="N64" i="16"/>
  <c r="L61" i="16"/>
  <c r="L62" i="16" s="1"/>
  <c r="N17" i="16"/>
  <c r="K108" i="16"/>
  <c r="K109" i="16" s="1"/>
  <c r="M13" i="16"/>
  <c r="M10" i="16"/>
  <c r="L11" i="16"/>
  <c r="L15" i="16" s="1"/>
  <c r="K91" i="16"/>
  <c r="K92" i="16" s="1"/>
  <c r="L90" i="16"/>
  <c r="L91" i="16" s="1"/>
  <c r="L92" i="16" s="1"/>
  <c r="L87" i="16"/>
  <c r="L88" i="16" s="1"/>
  <c r="N84" i="16"/>
  <c r="N111" i="16"/>
  <c r="N101" i="16"/>
  <c r="N121" i="16"/>
  <c r="K105" i="16"/>
  <c r="K128" i="16"/>
  <c r="K129" i="16" s="1"/>
  <c r="L104" i="16"/>
  <c r="L107" i="16"/>
  <c r="L138" i="16"/>
  <c r="L139" i="16" s="1"/>
  <c r="L124" i="16"/>
  <c r="L125" i="16" s="1"/>
  <c r="M134" i="16"/>
  <c r="N134" i="16" s="1"/>
  <c r="K118" i="16"/>
  <c r="K119" i="16" s="1"/>
  <c r="L114" i="16"/>
  <c r="L115" i="16" s="1"/>
  <c r="M56" i="16"/>
  <c r="M60" i="16" s="1"/>
  <c r="N54" i="16"/>
  <c r="N74" i="16"/>
  <c r="L57" i="16"/>
  <c r="K81" i="16"/>
  <c r="K82" i="16" s="1"/>
  <c r="L80" i="16"/>
  <c r="L77" i="16"/>
  <c r="L78" i="16" s="1"/>
  <c r="K58" i="16"/>
  <c r="L71" i="16"/>
  <c r="L72" i="16" s="1"/>
  <c r="L34" i="16"/>
  <c r="L35" i="16" s="1"/>
  <c r="M30" i="16"/>
  <c r="N30" i="16" s="1"/>
  <c r="M33" i="16"/>
  <c r="L73" i="17" l="1"/>
  <c r="L30" i="32" s="1"/>
  <c r="L36" i="32" s="1"/>
  <c r="N20" i="17"/>
  <c r="M61" i="17"/>
  <c r="M62" i="17" s="1"/>
  <c r="N62" i="17" s="1"/>
  <c r="L23" i="17"/>
  <c r="L4" i="32" s="1"/>
  <c r="L10" i="32" s="1"/>
  <c r="M57" i="17"/>
  <c r="M58" i="17" s="1"/>
  <c r="N56" i="17"/>
  <c r="M40" i="16"/>
  <c r="N40" i="16" s="1"/>
  <c r="M43" i="16"/>
  <c r="M44" i="16" s="1"/>
  <c r="N44" i="16" s="1"/>
  <c r="N18" i="17"/>
  <c r="M70" i="16"/>
  <c r="M71" i="16" s="1"/>
  <c r="N71" i="16" s="1"/>
  <c r="M20" i="16"/>
  <c r="F52" i="6"/>
  <c r="F53" i="33" s="1"/>
  <c r="F51" i="6"/>
  <c r="F52" i="33" s="1"/>
  <c r="F49" i="6"/>
  <c r="F50" i="33" s="1"/>
  <c r="F66" i="6"/>
  <c r="F67" i="33" s="1"/>
  <c r="F62" i="6"/>
  <c r="F63" i="33" s="1"/>
  <c r="F59" i="6"/>
  <c r="F60" i="33" s="1"/>
  <c r="F61" i="6"/>
  <c r="F62" i="33" s="1"/>
  <c r="K22" i="14"/>
  <c r="L11" i="30"/>
  <c r="L14" i="30" s="1"/>
  <c r="I22" i="14"/>
  <c r="J11" i="30"/>
  <c r="J14" i="30" s="1"/>
  <c r="J22" i="14"/>
  <c r="K11" i="30"/>
  <c r="K14" i="30" s="1"/>
  <c r="F22" i="14"/>
  <c r="G11" i="30"/>
  <c r="D43" i="6"/>
  <c r="D47" i="6" s="1"/>
  <c r="F67" i="6"/>
  <c r="F68" i="33" s="1"/>
  <c r="D44" i="33"/>
  <c r="F64" i="6"/>
  <c r="F65" i="33" s="1"/>
  <c r="D28" i="14"/>
  <c r="D30" i="14" s="1"/>
  <c r="F46" i="6"/>
  <c r="F47" i="33" s="1"/>
  <c r="F56" i="6"/>
  <c r="F57" i="33" s="1"/>
  <c r="F54" i="6"/>
  <c r="F55" i="33" s="1"/>
  <c r="F55" i="6"/>
  <c r="F56" i="33" s="1"/>
  <c r="F47" i="6"/>
  <c r="F48" i="33" s="1"/>
  <c r="F45" i="6"/>
  <c r="F46" i="33" s="1"/>
  <c r="F4" i="21"/>
  <c r="C3" i="26" s="1"/>
  <c r="F7" i="21"/>
  <c r="F3" i="26" s="1"/>
  <c r="C78" i="33"/>
  <c r="E72" i="6"/>
  <c r="E73" i="33" s="1"/>
  <c r="E77" i="33" s="1"/>
  <c r="M21" i="14"/>
  <c r="E73" i="6"/>
  <c r="H22" i="22"/>
  <c r="F3" i="21"/>
  <c r="B3" i="26" s="1"/>
  <c r="E74" i="33"/>
  <c r="F34" i="13"/>
  <c r="F5" i="21"/>
  <c r="D3" i="26" s="1"/>
  <c r="E70" i="6"/>
  <c r="E71" i="6"/>
  <c r="E72" i="33" s="1"/>
  <c r="E76" i="33" s="1"/>
  <c r="H30" i="13"/>
  <c r="H19" i="20" s="1"/>
  <c r="H26" i="13"/>
  <c r="H17" i="20" s="1"/>
  <c r="H24" i="13"/>
  <c r="H16" i="20" s="1"/>
  <c r="H28" i="13"/>
  <c r="H54" i="33" s="1"/>
  <c r="H32" i="13"/>
  <c r="H40" i="14" s="1"/>
  <c r="H42" i="14" s="1"/>
  <c r="M29" i="33"/>
  <c r="M9" i="20"/>
  <c r="M10" i="20" s="1"/>
  <c r="N23" i="30" s="1"/>
  <c r="M44" i="17"/>
  <c r="M45" i="17" s="1"/>
  <c r="N45" i="17" s="1"/>
  <c r="N43" i="17"/>
  <c r="M29" i="6"/>
  <c r="M32" i="6" s="1"/>
  <c r="M36" i="17"/>
  <c r="M37" i="17" s="1"/>
  <c r="M11" i="17"/>
  <c r="M12" i="17" s="1"/>
  <c r="N33" i="17"/>
  <c r="J32" i="33"/>
  <c r="J36" i="33" s="1"/>
  <c r="J36" i="6"/>
  <c r="N5" i="20"/>
  <c r="G22" i="13"/>
  <c r="D40" i="14"/>
  <c r="D63" i="6"/>
  <c r="D64" i="33"/>
  <c r="I32" i="33"/>
  <c r="I36" i="33" s="1"/>
  <c r="I36" i="6"/>
  <c r="F33" i="33"/>
  <c r="F37" i="33" s="1"/>
  <c r="F37" i="6"/>
  <c r="H38" i="33"/>
  <c r="I22" i="30" s="1"/>
  <c r="J30" i="33"/>
  <c r="J34" i="33" s="1"/>
  <c r="J34" i="6"/>
  <c r="K32" i="33"/>
  <c r="K36" i="33" s="1"/>
  <c r="K36" i="6"/>
  <c r="I33" i="33"/>
  <c r="I37" i="33" s="1"/>
  <c r="I37" i="6"/>
  <c r="K31" i="33"/>
  <c r="K35" i="33" s="1"/>
  <c r="K35" i="6"/>
  <c r="E37" i="33"/>
  <c r="D37" i="14"/>
  <c r="D59" i="33"/>
  <c r="D58" i="6"/>
  <c r="F32" i="33"/>
  <c r="F36" i="6"/>
  <c r="J33" i="33"/>
  <c r="J37" i="33" s="1"/>
  <c r="J37" i="6"/>
  <c r="K33" i="33"/>
  <c r="K37" i="33" s="1"/>
  <c r="K37" i="6"/>
  <c r="E35" i="33"/>
  <c r="I30" i="33"/>
  <c r="I34" i="33" s="1"/>
  <c r="I34" i="6"/>
  <c r="F30" i="33"/>
  <c r="F34" i="33" s="1"/>
  <c r="F34" i="6"/>
  <c r="J31" i="33"/>
  <c r="J35" i="33" s="1"/>
  <c r="J35" i="6"/>
  <c r="L11" i="6"/>
  <c r="L13" i="6"/>
  <c r="L12" i="6"/>
  <c r="L10" i="6"/>
  <c r="N9" i="6"/>
  <c r="K30" i="33"/>
  <c r="K34" i="33" s="1"/>
  <c r="K34" i="6"/>
  <c r="I31" i="33"/>
  <c r="I35" i="33" s="1"/>
  <c r="I35" i="6"/>
  <c r="L19" i="33"/>
  <c r="N19" i="33" s="1"/>
  <c r="L19" i="6"/>
  <c r="N7" i="20"/>
  <c r="D34" i="14"/>
  <c r="D54" i="33"/>
  <c r="D53" i="6"/>
  <c r="L16" i="6"/>
  <c r="L15" i="6"/>
  <c r="L18" i="6"/>
  <c r="L17" i="6"/>
  <c r="N14" i="6"/>
  <c r="L18" i="32"/>
  <c r="L24" i="32" s="1"/>
  <c r="L23" i="32"/>
  <c r="D33" i="13"/>
  <c r="F31" i="33"/>
  <c r="F35" i="33" s="1"/>
  <c r="F35" i="6"/>
  <c r="F45" i="33"/>
  <c r="I18" i="3"/>
  <c r="L6" i="6"/>
  <c r="L8" i="6"/>
  <c r="L7" i="6"/>
  <c r="L5" i="6"/>
  <c r="N4" i="6"/>
  <c r="L26" i="6"/>
  <c r="L25" i="6"/>
  <c r="L28" i="6"/>
  <c r="L27" i="6"/>
  <c r="N24" i="6"/>
  <c r="K28" i="15"/>
  <c r="J15" i="3"/>
  <c r="J17" i="3" s="1"/>
  <c r="J18" i="3" s="1"/>
  <c r="J19" i="3" s="1"/>
  <c r="J22" i="13" s="1"/>
  <c r="E34" i="33"/>
  <c r="D31" i="14"/>
  <c r="D49" i="33"/>
  <c r="D48" i="6"/>
  <c r="N12" i="13"/>
  <c r="E6" i="21" s="1"/>
  <c r="F6" i="21" s="1"/>
  <c r="E3" i="26" s="1"/>
  <c r="L13" i="14"/>
  <c r="L15" i="14" s="1"/>
  <c r="L15" i="13"/>
  <c r="L6" i="14"/>
  <c r="M6" i="30" s="1"/>
  <c r="N4" i="14"/>
  <c r="B4" i="8" s="1"/>
  <c r="B3" i="27" s="1"/>
  <c r="B3" i="29" s="1"/>
  <c r="N16" i="14"/>
  <c r="B16" i="8" s="1"/>
  <c r="B7" i="27" s="1"/>
  <c r="B7" i="29" s="1"/>
  <c r="L12" i="14"/>
  <c r="M8" i="30" s="1"/>
  <c r="N10" i="14"/>
  <c r="B10" i="8" s="1"/>
  <c r="B5" i="27" s="1"/>
  <c r="B5" i="29" s="1"/>
  <c r="L9" i="14"/>
  <c r="M7" i="30" s="1"/>
  <c r="N7" i="14"/>
  <c r="B7" i="8" s="1"/>
  <c r="B4" i="27" s="1"/>
  <c r="B4" i="29" s="1"/>
  <c r="N67" i="16"/>
  <c r="M31" i="16"/>
  <c r="N31" i="16" s="1"/>
  <c r="M14" i="16"/>
  <c r="N14" i="16" s="1"/>
  <c r="N10" i="16"/>
  <c r="M11" i="16"/>
  <c r="L108" i="16"/>
  <c r="L109" i="16" s="1"/>
  <c r="M61" i="16"/>
  <c r="M62" i="16" s="1"/>
  <c r="M87" i="16"/>
  <c r="M90" i="16"/>
  <c r="M91" i="16" s="1"/>
  <c r="N91" i="16" s="1"/>
  <c r="M68" i="16"/>
  <c r="N68" i="16" s="1"/>
  <c r="L58" i="16"/>
  <c r="L118" i="16"/>
  <c r="L119" i="16" s="1"/>
  <c r="L128" i="16"/>
  <c r="L129" i="16" s="1"/>
  <c r="M135" i="16"/>
  <c r="N135" i="16" s="1"/>
  <c r="L105" i="16"/>
  <c r="M107" i="16"/>
  <c r="M104" i="16"/>
  <c r="M105" i="16" s="1"/>
  <c r="M138" i="16"/>
  <c r="N138" i="16" s="1"/>
  <c r="M114" i="16"/>
  <c r="N114" i="16" s="1"/>
  <c r="M124" i="16"/>
  <c r="N124" i="16" s="1"/>
  <c r="M77" i="16"/>
  <c r="N77" i="16" s="1"/>
  <c r="M80" i="16"/>
  <c r="L81" i="16"/>
  <c r="L82" i="16" s="1"/>
  <c r="M57" i="16"/>
  <c r="M58" i="16" s="1"/>
  <c r="M34" i="16"/>
  <c r="N34" i="16" s="1"/>
  <c r="N24" i="16"/>
  <c r="N20" i="16"/>
  <c r="M21" i="16"/>
  <c r="N25" i="16" s="1"/>
  <c r="L31" i="32" l="1"/>
  <c r="L37" i="32" s="1"/>
  <c r="M45" i="16"/>
  <c r="N45" i="16" s="1"/>
  <c r="L5" i="32"/>
  <c r="L11" i="32" s="1"/>
  <c r="M19" i="30" s="1"/>
  <c r="M73" i="17"/>
  <c r="M30" i="32" s="1"/>
  <c r="N58" i="17"/>
  <c r="N73" i="17" s="1"/>
  <c r="B5" i="2" s="1"/>
  <c r="D5" i="2" s="1"/>
  <c r="M41" i="16"/>
  <c r="N41" i="16" s="1"/>
  <c r="H44" i="33"/>
  <c r="D45" i="6"/>
  <c r="D46" i="33" s="1"/>
  <c r="D44" i="6"/>
  <c r="D45" i="33" s="1"/>
  <c r="H59" i="33"/>
  <c r="D46" i="6"/>
  <c r="D47" i="33" s="1"/>
  <c r="H58" i="6"/>
  <c r="H60" i="6" s="1"/>
  <c r="H61" i="33" s="1"/>
  <c r="H37" i="14"/>
  <c r="H39" i="14" s="1"/>
  <c r="H53" i="6"/>
  <c r="H57" i="6" s="1"/>
  <c r="H58" i="33" s="1"/>
  <c r="H34" i="14"/>
  <c r="H36" i="14" s="1"/>
  <c r="G14" i="30"/>
  <c r="M22" i="14"/>
  <c r="N11" i="30"/>
  <c r="N14" i="30" s="1"/>
  <c r="H20" i="20"/>
  <c r="H28" i="14"/>
  <c r="H30" i="14" s="1"/>
  <c r="H43" i="6"/>
  <c r="H46" i="6" s="1"/>
  <c r="M33" i="6"/>
  <c r="M33" i="33" s="1"/>
  <c r="M37" i="33" s="1"/>
  <c r="H49" i="33"/>
  <c r="H48" i="6"/>
  <c r="H51" i="6" s="1"/>
  <c r="H52" i="33" s="1"/>
  <c r="M31" i="6"/>
  <c r="M31" i="33" s="1"/>
  <c r="M35" i="33" s="1"/>
  <c r="H31" i="14"/>
  <c r="H33" i="14" s="1"/>
  <c r="E76" i="6"/>
  <c r="E71" i="33"/>
  <c r="E75" i="33" s="1"/>
  <c r="E78" i="33" s="1"/>
  <c r="E74" i="6"/>
  <c r="E75" i="6"/>
  <c r="F43" i="14"/>
  <c r="F45" i="14" s="1"/>
  <c r="F46" i="14" s="1"/>
  <c r="F68" i="6"/>
  <c r="F69" i="33"/>
  <c r="H18" i="20"/>
  <c r="F21" i="20"/>
  <c r="F22" i="20" s="1"/>
  <c r="H63" i="6"/>
  <c r="H64" i="6" s="1"/>
  <c r="H65" i="33" s="1"/>
  <c r="H64" i="33"/>
  <c r="H33" i="13"/>
  <c r="H34" i="13" s="1"/>
  <c r="D34" i="13"/>
  <c r="D21" i="20" s="1"/>
  <c r="M30" i="6"/>
  <c r="M34" i="6" s="1"/>
  <c r="E38" i="33"/>
  <c r="F22" i="30" s="1"/>
  <c r="N12" i="17"/>
  <c r="N23" i="17" s="1"/>
  <c r="B3" i="2" s="1"/>
  <c r="D3" i="2" s="1"/>
  <c r="M23" i="17"/>
  <c r="N37" i="17"/>
  <c r="N48" i="17" s="1"/>
  <c r="B4" i="2" s="1"/>
  <c r="D4" i="2" s="1"/>
  <c r="M48" i="17"/>
  <c r="M17" i="32" s="1"/>
  <c r="N17" i="32" s="1"/>
  <c r="D62" i="6"/>
  <c r="D60" i="6"/>
  <c r="D61" i="6"/>
  <c r="D59" i="6"/>
  <c r="L5" i="33"/>
  <c r="N5" i="6"/>
  <c r="D56" i="6"/>
  <c r="D54" i="6"/>
  <c r="D55" i="6"/>
  <c r="D57" i="6"/>
  <c r="L10" i="33"/>
  <c r="N10" i="33" s="1"/>
  <c r="N10" i="6"/>
  <c r="D39" i="14"/>
  <c r="J38" i="33"/>
  <c r="K22" i="30" s="1"/>
  <c r="D65" i="6"/>
  <c r="D66" i="33" s="1"/>
  <c r="D67" i="6"/>
  <c r="D66" i="6"/>
  <c r="D64" i="6"/>
  <c r="L27" i="33"/>
  <c r="N27" i="33" s="1"/>
  <c r="N27" i="6"/>
  <c r="L7" i="33"/>
  <c r="N7" i="6"/>
  <c r="L21" i="6"/>
  <c r="L23" i="6"/>
  <c r="L22" i="6"/>
  <c r="L20" i="6"/>
  <c r="N19" i="6"/>
  <c r="L12" i="33"/>
  <c r="N12" i="33" s="1"/>
  <c r="N12" i="6"/>
  <c r="K38" i="33"/>
  <c r="L22" i="30" s="1"/>
  <c r="D42" i="14"/>
  <c r="G29" i="13"/>
  <c r="G19" i="22" s="1"/>
  <c r="G25" i="13"/>
  <c r="G17" i="22" s="1"/>
  <c r="G23" i="13"/>
  <c r="G16" i="22" s="1"/>
  <c r="G31" i="13"/>
  <c r="G20" i="22" s="1"/>
  <c r="G27" i="13"/>
  <c r="G18" i="22" s="1"/>
  <c r="D49" i="6"/>
  <c r="D51" i="6"/>
  <c r="D52" i="6"/>
  <c r="D50" i="6"/>
  <c r="J31" i="13"/>
  <c r="J20" i="22" s="1"/>
  <c r="J27" i="13"/>
  <c r="J18" i="22" s="1"/>
  <c r="J23" i="13"/>
  <c r="J16" i="22" s="1"/>
  <c r="J29" i="13"/>
  <c r="J19" i="22" s="1"/>
  <c r="J25" i="13"/>
  <c r="J17" i="22" s="1"/>
  <c r="L28" i="33"/>
  <c r="N28" i="33" s="1"/>
  <c r="N28" i="6"/>
  <c r="L8" i="33"/>
  <c r="N8" i="6"/>
  <c r="L17" i="33"/>
  <c r="N17" i="33" s="1"/>
  <c r="N17" i="6"/>
  <c r="D36" i="14"/>
  <c r="L13" i="33"/>
  <c r="N13" i="33" s="1"/>
  <c r="N13" i="6"/>
  <c r="M32" i="33"/>
  <c r="M36" i="33" s="1"/>
  <c r="M36" i="6"/>
  <c r="L16" i="13"/>
  <c r="N16" i="13" s="1"/>
  <c r="E8" i="21" s="1"/>
  <c r="E9" i="21" s="1"/>
  <c r="L28" i="15"/>
  <c r="K15" i="3"/>
  <c r="K17" i="3" s="1"/>
  <c r="L25" i="33"/>
  <c r="N25" i="33" s="1"/>
  <c r="N25" i="6"/>
  <c r="L6" i="33"/>
  <c r="N6" i="6"/>
  <c r="L18" i="33"/>
  <c r="N18" i="33" s="1"/>
  <c r="N18" i="6"/>
  <c r="L11" i="33"/>
  <c r="N11" i="33" s="1"/>
  <c r="N11" i="6"/>
  <c r="L26" i="33"/>
  <c r="N26" i="33" s="1"/>
  <c r="N26" i="6"/>
  <c r="D48" i="33"/>
  <c r="D33" i="14"/>
  <c r="I19" i="3"/>
  <c r="L15" i="33"/>
  <c r="N15" i="33" s="1"/>
  <c r="N15" i="6"/>
  <c r="L16" i="33"/>
  <c r="N16" i="33" s="1"/>
  <c r="N16" i="6"/>
  <c r="I38" i="33"/>
  <c r="J22" i="30" s="1"/>
  <c r="F36" i="33"/>
  <c r="F38" i="33" s="1"/>
  <c r="G22" i="30" s="1"/>
  <c r="N15" i="13"/>
  <c r="N13" i="14"/>
  <c r="B13" i="8" s="1"/>
  <c r="B6" i="27" s="1"/>
  <c r="B6" i="29" s="1"/>
  <c r="O7" i="30"/>
  <c r="N9" i="14"/>
  <c r="N18" i="14"/>
  <c r="N6" i="14"/>
  <c r="O8" i="30"/>
  <c r="N12" i="14"/>
  <c r="M108" i="16"/>
  <c r="M109" i="16" s="1"/>
  <c r="N109" i="16" s="1"/>
  <c r="M15" i="16"/>
  <c r="N15" i="16" s="1"/>
  <c r="N11" i="16"/>
  <c r="M139" i="16"/>
  <c r="N139" i="16" s="1"/>
  <c r="M92" i="16"/>
  <c r="N92" i="16" s="1"/>
  <c r="N87" i="16"/>
  <c r="M88" i="16"/>
  <c r="N88" i="16" s="1"/>
  <c r="M118" i="16"/>
  <c r="N118" i="16" s="1"/>
  <c r="N105" i="16"/>
  <c r="M125" i="16"/>
  <c r="N125" i="16" s="1"/>
  <c r="M128" i="16"/>
  <c r="N128" i="16" s="1"/>
  <c r="M115" i="16"/>
  <c r="N115" i="16" s="1"/>
  <c r="N104" i="16"/>
  <c r="N62" i="16"/>
  <c r="N58" i="16"/>
  <c r="M81" i="16"/>
  <c r="N81" i="16" s="1"/>
  <c r="N61" i="16"/>
  <c r="N57" i="16"/>
  <c r="M72" i="16"/>
  <c r="N72" i="16" s="1"/>
  <c r="M78" i="16"/>
  <c r="N78" i="16" s="1"/>
  <c r="M35" i="16"/>
  <c r="N35" i="16" s="1"/>
  <c r="N21" i="16"/>
  <c r="M31" i="32" l="1"/>
  <c r="M36" i="32"/>
  <c r="N36" i="32" s="1"/>
  <c r="N30" i="32"/>
  <c r="H47" i="6"/>
  <c r="H55" i="6"/>
  <c r="H56" i="33" s="1"/>
  <c r="H54" i="6"/>
  <c r="H55" i="33" s="1"/>
  <c r="H56" i="6"/>
  <c r="H57" i="33" s="1"/>
  <c r="H50" i="6"/>
  <c r="H51" i="33" s="1"/>
  <c r="H44" i="6"/>
  <c r="H45" i="33" s="1"/>
  <c r="H62" i="6"/>
  <c r="H63" i="33" s="1"/>
  <c r="H59" i="6"/>
  <c r="H60" i="33" s="1"/>
  <c r="H52" i="6"/>
  <c r="H53" i="33" s="1"/>
  <c r="M35" i="6"/>
  <c r="H49" i="6"/>
  <c r="H50" i="33" s="1"/>
  <c r="H61" i="6"/>
  <c r="H62" i="33" s="1"/>
  <c r="H65" i="6"/>
  <c r="H66" i="33" s="1"/>
  <c r="H66" i="6"/>
  <c r="H67" i="33" s="1"/>
  <c r="H45" i="6"/>
  <c r="H46" i="33" s="1"/>
  <c r="D68" i="6"/>
  <c r="D71" i="6" s="1"/>
  <c r="D69" i="33"/>
  <c r="M37" i="6"/>
  <c r="N15" i="14"/>
  <c r="N14" i="14" s="1"/>
  <c r="B14" i="8" s="1"/>
  <c r="C6" i="28" s="1"/>
  <c r="M9" i="30"/>
  <c r="O9" i="30" s="1"/>
  <c r="M30" i="33"/>
  <c r="M34" i="33" s="1"/>
  <c r="M38" i="33" s="1"/>
  <c r="N22" i="30" s="1"/>
  <c r="H67" i="6"/>
  <c r="H68" i="33" s="1"/>
  <c r="G22" i="22"/>
  <c r="J22" i="22"/>
  <c r="F70" i="6"/>
  <c r="F71" i="6"/>
  <c r="F69" i="6"/>
  <c r="F72" i="6"/>
  <c r="D43" i="14"/>
  <c r="D45" i="14" s="1"/>
  <c r="D46" i="14" s="1"/>
  <c r="H43" i="14"/>
  <c r="H45" i="14" s="1"/>
  <c r="H46" i="14" s="1"/>
  <c r="H69" i="33"/>
  <c r="H21" i="20"/>
  <c r="H22" i="20" s="1"/>
  <c r="H68" i="6"/>
  <c r="C8" i="21"/>
  <c r="C9" i="21" s="1"/>
  <c r="D8" i="21"/>
  <c r="D9" i="21" s="1"/>
  <c r="B8" i="21"/>
  <c r="D22" i="20"/>
  <c r="J26" i="13"/>
  <c r="J17" i="20" s="1"/>
  <c r="J30" i="13"/>
  <c r="J58" i="6" s="1"/>
  <c r="J24" i="13"/>
  <c r="J43" i="6" s="1"/>
  <c r="J28" i="13"/>
  <c r="J54" i="33" s="1"/>
  <c r="G24" i="13"/>
  <c r="G16" i="20" s="1"/>
  <c r="J32" i="13"/>
  <c r="J20" i="20" s="1"/>
  <c r="L9" i="20"/>
  <c r="N9" i="20" s="1"/>
  <c r="N10" i="20" s="1"/>
  <c r="M23" i="32"/>
  <c r="N23" i="32" s="1"/>
  <c r="M18" i="32"/>
  <c r="M24" i="32" s="1"/>
  <c r="L19" i="14"/>
  <c r="L21" i="14" s="1"/>
  <c r="M4" i="32"/>
  <c r="I22" i="13"/>
  <c r="L22" i="33"/>
  <c r="N22" i="33" s="1"/>
  <c r="N22" i="6"/>
  <c r="D65" i="33"/>
  <c r="K18" i="3"/>
  <c r="L29" i="33"/>
  <c r="N29" i="33" s="1"/>
  <c r="L29" i="6"/>
  <c r="N8" i="33"/>
  <c r="G28" i="13"/>
  <c r="G18" i="20" s="1"/>
  <c r="L21" i="33"/>
  <c r="N21" i="33" s="1"/>
  <c r="N21" i="6"/>
  <c r="D68" i="33"/>
  <c r="M28" i="15"/>
  <c r="L15" i="3"/>
  <c r="L17" i="3" s="1"/>
  <c r="L18" i="3" s="1"/>
  <c r="L19" i="3" s="1"/>
  <c r="L22" i="13" s="1"/>
  <c r="G32" i="13"/>
  <c r="G20" i="20" s="1"/>
  <c r="D60" i="33"/>
  <c r="N5" i="33"/>
  <c r="D51" i="33"/>
  <c r="D58" i="33"/>
  <c r="D62" i="33"/>
  <c r="L23" i="33"/>
  <c r="N23" i="33" s="1"/>
  <c r="N23" i="6"/>
  <c r="D53" i="33"/>
  <c r="G26" i="13"/>
  <c r="G17" i="20" s="1"/>
  <c r="D56" i="33"/>
  <c r="D61" i="33"/>
  <c r="N6" i="33"/>
  <c r="H47" i="33"/>
  <c r="D52" i="33"/>
  <c r="G30" i="13"/>
  <c r="G19" i="20" s="1"/>
  <c r="N7" i="33"/>
  <c r="D55" i="33"/>
  <c r="D63" i="33"/>
  <c r="D67" i="33"/>
  <c r="H48" i="33"/>
  <c r="D50" i="33"/>
  <c r="L20" i="33"/>
  <c r="N20" i="33" s="1"/>
  <c r="N20" i="6"/>
  <c r="D57" i="33"/>
  <c r="N11" i="14"/>
  <c r="B12" i="8"/>
  <c r="N17" i="14"/>
  <c r="B17" i="8" s="1"/>
  <c r="C7" i="28" s="1"/>
  <c r="B18" i="8"/>
  <c r="N5" i="14"/>
  <c r="B6" i="8"/>
  <c r="N8" i="14"/>
  <c r="B9" i="8"/>
  <c r="O10" i="30"/>
  <c r="O6" i="30"/>
  <c r="N108" i="16"/>
  <c r="M119" i="16"/>
  <c r="N119" i="16" s="1"/>
  <c r="M129" i="16"/>
  <c r="N129" i="16" s="1"/>
  <c r="M82" i="16"/>
  <c r="N82" i="16" s="1"/>
  <c r="M37" i="32" l="1"/>
  <c r="N31" i="32"/>
  <c r="N37" i="32" s="1"/>
  <c r="C5" i="2" s="1"/>
  <c r="D69" i="6"/>
  <c r="D70" i="33" s="1"/>
  <c r="D72" i="6"/>
  <c r="D76" i="6" s="1"/>
  <c r="J59" i="33"/>
  <c r="D70" i="6"/>
  <c r="D71" i="33" s="1"/>
  <c r="J53" i="6"/>
  <c r="J55" i="6" s="1"/>
  <c r="J56" i="33" s="1"/>
  <c r="J34" i="14"/>
  <c r="J36" i="14" s="1"/>
  <c r="J18" i="20"/>
  <c r="B15" i="8"/>
  <c r="C6" i="29" s="1"/>
  <c r="B5" i="25"/>
  <c r="C5" i="29"/>
  <c r="L22" i="14"/>
  <c r="M11" i="30"/>
  <c r="O11" i="30" s="1"/>
  <c r="B3" i="25"/>
  <c r="C3" i="29"/>
  <c r="C7" i="29"/>
  <c r="B7" i="25"/>
  <c r="N19" i="14"/>
  <c r="B19" i="8" s="1"/>
  <c r="B8" i="27" s="1"/>
  <c r="B8" i="29" s="1"/>
  <c r="B4" i="25"/>
  <c r="C4" i="29"/>
  <c r="J28" i="14"/>
  <c r="J30" i="14" s="1"/>
  <c r="J16" i="20"/>
  <c r="G28" i="14"/>
  <c r="G30" i="14" s="1"/>
  <c r="J44" i="33"/>
  <c r="J37" i="14"/>
  <c r="J39" i="14" s="1"/>
  <c r="J40" i="14"/>
  <c r="J42" i="14" s="1"/>
  <c r="G43" i="6"/>
  <c r="G47" i="6" s="1"/>
  <c r="G44" i="33"/>
  <c r="J19" i="20"/>
  <c r="J48" i="6"/>
  <c r="J51" i="6" s="1"/>
  <c r="J52" i="33" s="1"/>
  <c r="J49" i="33"/>
  <c r="J31" i="14"/>
  <c r="J33" i="14" s="1"/>
  <c r="F73" i="33"/>
  <c r="F77" i="33" s="1"/>
  <c r="F76" i="6"/>
  <c r="F70" i="33"/>
  <c r="F74" i="33" s="1"/>
  <c r="F73" i="6"/>
  <c r="F72" i="33"/>
  <c r="F76" i="33" s="1"/>
  <c r="F75" i="6"/>
  <c r="F71" i="33"/>
  <c r="F75" i="33" s="1"/>
  <c r="F74" i="6"/>
  <c r="H71" i="6"/>
  <c r="H70" i="6"/>
  <c r="H72" i="6"/>
  <c r="H69" i="6"/>
  <c r="J63" i="6"/>
  <c r="J66" i="6" s="1"/>
  <c r="J67" i="33" s="1"/>
  <c r="B9" i="21"/>
  <c r="F9" i="21" s="1"/>
  <c r="F8" i="21"/>
  <c r="G3" i="26" s="1"/>
  <c r="L10" i="20"/>
  <c r="M23" i="30" s="1"/>
  <c r="O23" i="30" s="1"/>
  <c r="N18" i="32"/>
  <c r="N24" i="32" s="1"/>
  <c r="C4" i="2" s="1"/>
  <c r="E4" i="2" s="1"/>
  <c r="J33" i="13"/>
  <c r="J64" i="33"/>
  <c r="M5" i="32"/>
  <c r="M10" i="32"/>
  <c r="N10" i="32" s="1"/>
  <c r="N4" i="32"/>
  <c r="L29" i="13"/>
  <c r="L19" i="22" s="1"/>
  <c r="L25" i="13"/>
  <c r="L17" i="22" s="1"/>
  <c r="L23" i="13"/>
  <c r="L16" i="22" s="1"/>
  <c r="L31" i="13"/>
  <c r="L20" i="22" s="1"/>
  <c r="L27" i="13"/>
  <c r="L18" i="22" s="1"/>
  <c r="L31" i="6"/>
  <c r="L30" i="6"/>
  <c r="L33" i="6"/>
  <c r="L32" i="6"/>
  <c r="N29" i="6"/>
  <c r="D72" i="33"/>
  <c r="D76" i="33" s="1"/>
  <c r="M15" i="3"/>
  <c r="B43" i="15"/>
  <c r="G34" i="14"/>
  <c r="G53" i="6"/>
  <c r="G54" i="33"/>
  <c r="G37" i="14"/>
  <c r="G59" i="33"/>
  <c r="G58" i="6"/>
  <c r="K19" i="3"/>
  <c r="G31" i="14"/>
  <c r="G49" i="33"/>
  <c r="G48" i="6"/>
  <c r="G33" i="13"/>
  <c r="I31" i="13"/>
  <c r="I20" i="22" s="1"/>
  <c r="I27" i="13"/>
  <c r="I18" i="22" s="1"/>
  <c r="I23" i="13"/>
  <c r="I16" i="22" s="1"/>
  <c r="I25" i="13"/>
  <c r="I17" i="22" s="1"/>
  <c r="I29" i="13"/>
  <c r="I19" i="22" s="1"/>
  <c r="J61" i="6"/>
  <c r="J62" i="33" s="1"/>
  <c r="J59" i="6"/>
  <c r="J60" i="33" s="1"/>
  <c r="J60" i="6"/>
  <c r="J61" i="33" s="1"/>
  <c r="J62" i="6"/>
  <c r="J63" i="33" s="1"/>
  <c r="G40" i="14"/>
  <c r="G64" i="33"/>
  <c r="G63" i="6"/>
  <c r="J46" i="6"/>
  <c r="J47" i="33" s="1"/>
  <c r="J45" i="6"/>
  <c r="J47" i="6"/>
  <c r="J44" i="6"/>
  <c r="J45" i="33" s="1"/>
  <c r="D75" i="6"/>
  <c r="N21" i="14"/>
  <c r="N22" i="14" s="1"/>
  <c r="B5" i="8"/>
  <c r="C3" i="28" s="1"/>
  <c r="B8" i="8"/>
  <c r="C4" i="28" s="1"/>
  <c r="B11" i="8"/>
  <c r="C5" i="28" s="1"/>
  <c r="F5" i="2" l="1"/>
  <c r="E5" i="2"/>
  <c r="G5" i="2"/>
  <c r="D74" i="6"/>
  <c r="D73" i="6"/>
  <c r="D73" i="33"/>
  <c r="D77" i="33" s="1"/>
  <c r="J54" i="6"/>
  <c r="J55" i="33" s="1"/>
  <c r="J57" i="6"/>
  <c r="J58" i="33" s="1"/>
  <c r="J56" i="6"/>
  <c r="J57" i="33" s="1"/>
  <c r="B6" i="25"/>
  <c r="M14" i="30"/>
  <c r="O14" i="30" s="1"/>
  <c r="H3" i="26"/>
  <c r="F4" i="2"/>
  <c r="G46" i="6"/>
  <c r="G47" i="33" s="1"/>
  <c r="G44" i="6"/>
  <c r="G45" i="33" s="1"/>
  <c r="G45" i="6"/>
  <c r="G46" i="33" s="1"/>
  <c r="G4" i="2"/>
  <c r="J65" i="6"/>
  <c r="J66" i="33" s="1"/>
  <c r="J67" i="6"/>
  <c r="J68" i="33" s="1"/>
  <c r="J64" i="6"/>
  <c r="J65" i="33" s="1"/>
  <c r="J52" i="6"/>
  <c r="J53" i="33" s="1"/>
  <c r="J50" i="6"/>
  <c r="J51" i="33" s="1"/>
  <c r="J49" i="6"/>
  <c r="J50" i="33" s="1"/>
  <c r="F78" i="33"/>
  <c r="I22" i="22"/>
  <c r="L22" i="22"/>
  <c r="H70" i="33"/>
  <c r="H74" i="33" s="1"/>
  <c r="H73" i="6"/>
  <c r="H73" i="33"/>
  <c r="H77" i="33" s="1"/>
  <c r="H76" i="6"/>
  <c r="H71" i="33"/>
  <c r="H75" i="33" s="1"/>
  <c r="H74" i="6"/>
  <c r="H72" i="33"/>
  <c r="H76" i="33" s="1"/>
  <c r="H75" i="6"/>
  <c r="L24" i="13"/>
  <c r="L43" i="6" s="1"/>
  <c r="L26" i="13"/>
  <c r="L17" i="20" s="1"/>
  <c r="L30" i="13"/>
  <c r="L19" i="20" s="1"/>
  <c r="I24" i="13"/>
  <c r="I16" i="20" s="1"/>
  <c r="J34" i="13"/>
  <c r="J21" i="20" s="1"/>
  <c r="J22" i="20" s="1"/>
  <c r="L28" i="13"/>
  <c r="L34" i="14" s="1"/>
  <c r="L36" i="14" s="1"/>
  <c r="L32" i="13"/>
  <c r="L20" i="20" s="1"/>
  <c r="M11" i="32"/>
  <c r="N19" i="30" s="1"/>
  <c r="N5" i="32"/>
  <c r="N11" i="32" s="1"/>
  <c r="C3" i="2" s="1"/>
  <c r="G42" i="14"/>
  <c r="I32" i="13"/>
  <c r="I20" i="20" s="1"/>
  <c r="K22" i="13"/>
  <c r="G48" i="33"/>
  <c r="J48" i="33"/>
  <c r="G52" i="6"/>
  <c r="G50" i="6"/>
  <c r="G51" i="6"/>
  <c r="G49" i="6"/>
  <c r="L32" i="33"/>
  <c r="N32" i="6"/>
  <c r="N36" i="6" s="1"/>
  <c r="L36" i="6"/>
  <c r="J46" i="33"/>
  <c r="I30" i="13"/>
  <c r="I19" i="20" s="1"/>
  <c r="G55" i="6"/>
  <c r="G56" i="6"/>
  <c r="G57" i="6"/>
  <c r="G54" i="6"/>
  <c r="L33" i="33"/>
  <c r="N33" i="6"/>
  <c r="N37" i="6" s="1"/>
  <c r="L37" i="6"/>
  <c r="I26" i="13"/>
  <c r="I17" i="20" s="1"/>
  <c r="G33" i="14"/>
  <c r="G60" i="6"/>
  <c r="G59" i="6"/>
  <c r="G61" i="6"/>
  <c r="G62" i="6"/>
  <c r="G36" i="14"/>
  <c r="L30" i="33"/>
  <c r="N30" i="6"/>
  <c r="N34" i="6" s="1"/>
  <c r="L34" i="6"/>
  <c r="D74" i="33"/>
  <c r="G64" i="6"/>
  <c r="G67" i="6"/>
  <c r="G65" i="6"/>
  <c r="G66" i="6"/>
  <c r="C43" i="15"/>
  <c r="B25" i="3"/>
  <c r="B27" i="3" s="1"/>
  <c r="B28" i="3" s="1"/>
  <c r="B29" i="3" s="1"/>
  <c r="B40" i="13" s="1"/>
  <c r="L31" i="33"/>
  <c r="N31" i="6"/>
  <c r="N35" i="6" s="1"/>
  <c r="L35" i="6"/>
  <c r="G34" i="13"/>
  <c r="G21" i="20" s="1"/>
  <c r="I28" i="13"/>
  <c r="I18" i="20" s="1"/>
  <c r="G39" i="14"/>
  <c r="N15" i="3"/>
  <c r="M17" i="3"/>
  <c r="D75" i="33"/>
  <c r="N20" i="14"/>
  <c r="B20" i="8" s="1"/>
  <c r="C8" i="28" s="1"/>
  <c r="B21" i="8"/>
  <c r="H5" i="2" l="1"/>
  <c r="B23" i="24" s="1"/>
  <c r="H4" i="2"/>
  <c r="B13" i="24" s="1"/>
  <c r="I28" i="14"/>
  <c r="I30" i="14" s="1"/>
  <c r="L40" i="14"/>
  <c r="L42" i="14" s="1"/>
  <c r="O19" i="30"/>
  <c r="C8" i="29"/>
  <c r="B8" i="25"/>
  <c r="B9" i="25" s="1"/>
  <c r="B22" i="8"/>
  <c r="L44" i="33"/>
  <c r="L28" i="14"/>
  <c r="L30" i="14" s="1"/>
  <c r="L16" i="20"/>
  <c r="L33" i="13"/>
  <c r="L34" i="13" s="1"/>
  <c r="L21" i="20" s="1"/>
  <c r="L48" i="6"/>
  <c r="L51" i="6" s="1"/>
  <c r="L52" i="33" s="1"/>
  <c r="L49" i="33"/>
  <c r="L64" i="33"/>
  <c r="L63" i="6"/>
  <c r="L64" i="6" s="1"/>
  <c r="L65" i="33" s="1"/>
  <c r="L37" i="14"/>
  <c r="L39" i="14" s="1"/>
  <c r="I44" i="33"/>
  <c r="I43" i="6"/>
  <c r="I45" i="6" s="1"/>
  <c r="L18" i="20"/>
  <c r="H78" i="33"/>
  <c r="L31" i="14"/>
  <c r="L33" i="14" s="1"/>
  <c r="G22" i="20"/>
  <c r="L54" i="33"/>
  <c r="J43" i="14"/>
  <c r="J45" i="14" s="1"/>
  <c r="J46" i="14" s="1"/>
  <c r="J69" i="33"/>
  <c r="J68" i="6"/>
  <c r="L53" i="6"/>
  <c r="L57" i="6" s="1"/>
  <c r="L58" i="33" s="1"/>
  <c r="L58" i="6"/>
  <c r="L61" i="6" s="1"/>
  <c r="L62" i="33" s="1"/>
  <c r="L59" i="33"/>
  <c r="G3" i="2"/>
  <c r="F3" i="2"/>
  <c r="E3" i="2"/>
  <c r="G60" i="33"/>
  <c r="G55" i="33"/>
  <c r="G61" i="33"/>
  <c r="I34" i="14"/>
  <c r="I53" i="6"/>
  <c r="I54" i="33"/>
  <c r="B47" i="13"/>
  <c r="B31" i="22" s="1"/>
  <c r="B43" i="13"/>
  <c r="B29" i="22" s="1"/>
  <c r="B41" i="13"/>
  <c r="B28" i="22" s="1"/>
  <c r="B49" i="13"/>
  <c r="B32" i="22" s="1"/>
  <c r="B45" i="13"/>
  <c r="B30" i="22" s="1"/>
  <c r="G66" i="33"/>
  <c r="N30" i="33"/>
  <c r="N34" i="33" s="1"/>
  <c r="L34" i="33"/>
  <c r="G57" i="33"/>
  <c r="K27" i="13"/>
  <c r="K18" i="22" s="1"/>
  <c r="K31" i="13"/>
  <c r="K20" i="22" s="1"/>
  <c r="K23" i="13"/>
  <c r="K16" i="22" s="1"/>
  <c r="K29" i="13"/>
  <c r="K19" i="22" s="1"/>
  <c r="K25" i="13"/>
  <c r="K17" i="22" s="1"/>
  <c r="G58" i="33"/>
  <c r="D43" i="15"/>
  <c r="C25" i="3"/>
  <c r="C27" i="3" s="1"/>
  <c r="G68" i="33"/>
  <c r="G56" i="33"/>
  <c r="G50" i="33"/>
  <c r="M18" i="3"/>
  <c r="N17" i="3"/>
  <c r="N16" i="3" s="1"/>
  <c r="G67" i="33"/>
  <c r="G65" i="33"/>
  <c r="G52" i="33"/>
  <c r="I37" i="14"/>
  <c r="I59" i="33"/>
  <c r="I58" i="6"/>
  <c r="G51" i="33"/>
  <c r="L46" i="6"/>
  <c r="L47" i="6"/>
  <c r="L44" i="6"/>
  <c r="L45" i="6"/>
  <c r="I40" i="14"/>
  <c r="I64" i="33"/>
  <c r="I63" i="6"/>
  <c r="N31" i="33"/>
  <c r="N35" i="33" s="1"/>
  <c r="L35" i="33"/>
  <c r="I31" i="14"/>
  <c r="I48" i="6"/>
  <c r="I49" i="33"/>
  <c r="I33" i="13"/>
  <c r="G63" i="33"/>
  <c r="N33" i="33"/>
  <c r="N37" i="33" s="1"/>
  <c r="L37" i="33"/>
  <c r="N32" i="33"/>
  <c r="N36" i="33" s="1"/>
  <c r="L36" i="33"/>
  <c r="G53" i="33"/>
  <c r="G43" i="14"/>
  <c r="G69" i="33"/>
  <c r="G68" i="6"/>
  <c r="D78" i="33"/>
  <c r="G62" i="33"/>
  <c r="I44" i="6" l="1"/>
  <c r="I45" i="33" s="1"/>
  <c r="I47" i="6"/>
  <c r="I48" i="33" s="1"/>
  <c r="I46" i="6"/>
  <c r="I47" i="33" s="1"/>
  <c r="L67" i="6"/>
  <c r="L68" i="33" s="1"/>
  <c r="L52" i="6"/>
  <c r="L53" i="33" s="1"/>
  <c r="L50" i="6"/>
  <c r="L51" i="33" s="1"/>
  <c r="L49" i="6"/>
  <c r="L50" i="33" s="1"/>
  <c r="C9" i="29"/>
  <c r="D4" i="25"/>
  <c r="D6" i="25"/>
  <c r="D7" i="25"/>
  <c r="D8" i="25"/>
  <c r="D5" i="25"/>
  <c r="D3" i="25"/>
  <c r="B5" i="26" s="1"/>
  <c r="L65" i="6"/>
  <c r="L66" i="33" s="1"/>
  <c r="L66" i="6"/>
  <c r="L67" i="33" s="1"/>
  <c r="L43" i="14"/>
  <c r="L45" i="14" s="1"/>
  <c r="L46" i="14" s="1"/>
  <c r="L60" i="6"/>
  <c r="L61" i="33" s="1"/>
  <c r="L59" i="6"/>
  <c r="L60" i="33" s="1"/>
  <c r="L62" i="6"/>
  <c r="L63" i="33" s="1"/>
  <c r="L56" i="6"/>
  <c r="L57" i="33" s="1"/>
  <c r="L68" i="6"/>
  <c r="L69" i="6" s="1"/>
  <c r="L70" i="33" s="1"/>
  <c r="L69" i="33"/>
  <c r="K22" i="22"/>
  <c r="B34" i="22"/>
  <c r="L55" i="6"/>
  <c r="L56" i="33" s="1"/>
  <c r="L54" i="6"/>
  <c r="L55" i="33" s="1"/>
  <c r="L22" i="20"/>
  <c r="J72" i="6"/>
  <c r="J69" i="6"/>
  <c r="J70" i="6"/>
  <c r="J71" i="6"/>
  <c r="K24" i="13"/>
  <c r="K43" i="6" s="1"/>
  <c r="H3" i="2"/>
  <c r="N38" i="33"/>
  <c r="B4" i="24" s="1"/>
  <c r="G45" i="14"/>
  <c r="L47" i="33"/>
  <c r="B42" i="13"/>
  <c r="B28" i="20" s="1"/>
  <c r="I33" i="14"/>
  <c r="I67" i="6"/>
  <c r="I66" i="6"/>
  <c r="I65" i="6"/>
  <c r="I64" i="6"/>
  <c r="K30" i="13"/>
  <c r="K19" i="20" s="1"/>
  <c r="B48" i="13"/>
  <c r="B31" i="20" s="1"/>
  <c r="I50" i="6"/>
  <c r="I49" i="6"/>
  <c r="I51" i="6"/>
  <c r="I52" i="6"/>
  <c r="C28" i="3"/>
  <c r="B44" i="13"/>
  <c r="B29" i="20" s="1"/>
  <c r="I42" i="14"/>
  <c r="I61" i="6"/>
  <c r="I62" i="6"/>
  <c r="I60" i="6"/>
  <c r="I59" i="6"/>
  <c r="E43" i="15"/>
  <c r="D25" i="3"/>
  <c r="D27" i="3" s="1"/>
  <c r="D28" i="3" s="1"/>
  <c r="D29" i="3" s="1"/>
  <c r="D40" i="13" s="1"/>
  <c r="K32" i="13"/>
  <c r="K20" i="20" s="1"/>
  <c r="I46" i="33"/>
  <c r="L46" i="33"/>
  <c r="K28" i="13"/>
  <c r="K18" i="20" s="1"/>
  <c r="I56" i="6"/>
  <c r="I55" i="6"/>
  <c r="I54" i="6"/>
  <c r="I57" i="6"/>
  <c r="G71" i="6"/>
  <c r="G70" i="6"/>
  <c r="G69" i="6"/>
  <c r="G72" i="6"/>
  <c r="L38" i="33"/>
  <c r="M22" i="30" s="1"/>
  <c r="L45" i="33"/>
  <c r="I39" i="14"/>
  <c r="B46" i="13"/>
  <c r="B30" i="20" s="1"/>
  <c r="I36" i="14"/>
  <c r="K26" i="13"/>
  <c r="K17" i="20" s="1"/>
  <c r="I34" i="13"/>
  <c r="I21" i="20" s="1"/>
  <c r="I22" i="20" s="1"/>
  <c r="L48" i="33"/>
  <c r="M19" i="3"/>
  <c r="N18" i="3"/>
  <c r="B50" i="13"/>
  <c r="B32" i="20" s="1"/>
  <c r="E20" i="30" l="1"/>
  <c r="E29" i="30" s="1"/>
  <c r="M20" i="30"/>
  <c r="M29" i="30" s="1"/>
  <c r="B3" i="24"/>
  <c r="F20" i="30"/>
  <c r="F29" i="30" s="1"/>
  <c r="N20" i="30"/>
  <c r="N29" i="30" s="1"/>
  <c r="G20" i="30"/>
  <c r="G29" i="30" s="1"/>
  <c r="C20" i="30"/>
  <c r="D20" i="30"/>
  <c r="D29" i="30" s="1"/>
  <c r="H20" i="30"/>
  <c r="H29" i="30" s="1"/>
  <c r="I20" i="30"/>
  <c r="I29" i="30" s="1"/>
  <c r="J20" i="30"/>
  <c r="J29" i="30" s="1"/>
  <c r="K20" i="30"/>
  <c r="K29" i="30" s="1"/>
  <c r="L20" i="30"/>
  <c r="L29" i="30" s="1"/>
  <c r="O22" i="30"/>
  <c r="D5" i="26"/>
  <c r="G5" i="26"/>
  <c r="L72" i="6"/>
  <c r="L73" i="33" s="1"/>
  <c r="L77" i="33" s="1"/>
  <c r="F5" i="26"/>
  <c r="E5" i="26"/>
  <c r="C5" i="26"/>
  <c r="L71" i="6"/>
  <c r="L72" i="33" s="1"/>
  <c r="L76" i="33" s="1"/>
  <c r="L70" i="6"/>
  <c r="L71" i="33" s="1"/>
  <c r="L75" i="33" s="1"/>
  <c r="K16" i="20"/>
  <c r="K44" i="33"/>
  <c r="K28" i="14"/>
  <c r="K30" i="14" s="1"/>
  <c r="J72" i="33"/>
  <c r="J76" i="33" s="1"/>
  <c r="J75" i="6"/>
  <c r="J71" i="33"/>
  <c r="J75" i="33" s="1"/>
  <c r="J74" i="6"/>
  <c r="J70" i="33"/>
  <c r="J74" i="33" s="1"/>
  <c r="J73" i="6"/>
  <c r="J73" i="33"/>
  <c r="J77" i="33" s="1"/>
  <c r="J76" i="6"/>
  <c r="L74" i="33"/>
  <c r="L73" i="6"/>
  <c r="D9" i="25"/>
  <c r="B64" i="14"/>
  <c r="B104" i="33"/>
  <c r="B102" i="6"/>
  <c r="K34" i="14"/>
  <c r="K54" i="33"/>
  <c r="K53" i="6"/>
  <c r="I63" i="33"/>
  <c r="B55" i="14"/>
  <c r="B89" i="33"/>
  <c r="B87" i="6"/>
  <c r="C29" i="3"/>
  <c r="B58" i="14"/>
  <c r="B94" i="33"/>
  <c r="B92" i="6"/>
  <c r="K40" i="14"/>
  <c r="K42" i="14" s="1"/>
  <c r="K64" i="33"/>
  <c r="K63" i="6"/>
  <c r="I66" i="33"/>
  <c r="G73" i="33"/>
  <c r="G76" i="6"/>
  <c r="D47" i="13"/>
  <c r="D31" i="22" s="1"/>
  <c r="D43" i="13"/>
  <c r="D29" i="22" s="1"/>
  <c r="D45" i="13"/>
  <c r="D30" i="22" s="1"/>
  <c r="D41" i="13"/>
  <c r="D28" i="22" s="1"/>
  <c r="D49" i="13"/>
  <c r="D32" i="22" s="1"/>
  <c r="B61" i="14"/>
  <c r="B99" i="33"/>
  <c r="B97" i="6"/>
  <c r="I67" i="33"/>
  <c r="I43" i="14"/>
  <c r="I69" i="33"/>
  <c r="I68" i="6"/>
  <c r="I62" i="33"/>
  <c r="I65" i="33"/>
  <c r="I58" i="33"/>
  <c r="M22" i="13"/>
  <c r="N19" i="3"/>
  <c r="G70" i="33"/>
  <c r="G73" i="6"/>
  <c r="I55" i="33"/>
  <c r="F43" i="15"/>
  <c r="E25" i="3"/>
  <c r="E27" i="3" s="1"/>
  <c r="E28" i="3" s="1"/>
  <c r="E29" i="3" s="1"/>
  <c r="E40" i="13" s="1"/>
  <c r="I53" i="33"/>
  <c r="I68" i="33"/>
  <c r="I56" i="33"/>
  <c r="K46" i="6"/>
  <c r="K45" i="6"/>
  <c r="K44" i="6"/>
  <c r="K47" i="6"/>
  <c r="I52" i="33"/>
  <c r="K37" i="14"/>
  <c r="K39" i="14" s="1"/>
  <c r="K59" i="33"/>
  <c r="K58" i="6"/>
  <c r="B52" i="14"/>
  <c r="B82" i="6"/>
  <c r="B84" i="33"/>
  <c r="B51" i="13"/>
  <c r="G46" i="14"/>
  <c r="K31" i="14"/>
  <c r="K48" i="6"/>
  <c r="K49" i="33"/>
  <c r="K33" i="13"/>
  <c r="G72" i="33"/>
  <c r="G75" i="6"/>
  <c r="I57" i="33"/>
  <c r="I60" i="33"/>
  <c r="I50" i="33"/>
  <c r="G74" i="6"/>
  <c r="G71" i="33"/>
  <c r="I61" i="33"/>
  <c r="I51" i="33"/>
  <c r="O20" i="30" l="1"/>
  <c r="C29" i="30"/>
  <c r="L76" i="6"/>
  <c r="L74" i="6"/>
  <c r="H5" i="26"/>
  <c r="L75" i="6"/>
  <c r="J78" i="33"/>
  <c r="D34" i="22"/>
  <c r="D48" i="13"/>
  <c r="D31" i="20" s="1"/>
  <c r="D46" i="13"/>
  <c r="D58" i="14" s="1"/>
  <c r="D60" i="14" s="1"/>
  <c r="D44" i="13"/>
  <c r="D55" i="14" s="1"/>
  <c r="D57" i="14" s="1"/>
  <c r="D50" i="13"/>
  <c r="D32" i="20" s="1"/>
  <c r="D42" i="13"/>
  <c r="D28" i="20" s="1"/>
  <c r="L78" i="33"/>
  <c r="K33" i="14"/>
  <c r="B54" i="14"/>
  <c r="K45" i="33"/>
  <c r="G77" i="33"/>
  <c r="B90" i="6"/>
  <c r="B88" i="6"/>
  <c r="B89" i="6"/>
  <c r="B91" i="6"/>
  <c r="K36" i="14"/>
  <c r="K46" i="33"/>
  <c r="G76" i="33"/>
  <c r="K61" i="6"/>
  <c r="K62" i="33" s="1"/>
  <c r="K60" i="6"/>
  <c r="K61" i="33" s="1"/>
  <c r="K59" i="6"/>
  <c r="K60" i="33" s="1"/>
  <c r="K62" i="6"/>
  <c r="K47" i="33"/>
  <c r="G74" i="33"/>
  <c r="B93" i="6"/>
  <c r="B95" i="6"/>
  <c r="B94" i="6"/>
  <c r="B96" i="6"/>
  <c r="B57" i="14"/>
  <c r="E47" i="13"/>
  <c r="E31" i="22" s="1"/>
  <c r="E43" i="13"/>
  <c r="E29" i="22" s="1"/>
  <c r="E49" i="13"/>
  <c r="E32" i="22" s="1"/>
  <c r="E45" i="13"/>
  <c r="E30" i="22" s="1"/>
  <c r="E41" i="13"/>
  <c r="E28" i="22" s="1"/>
  <c r="B100" i="6"/>
  <c r="B98" i="6"/>
  <c r="B101" i="6"/>
  <c r="B99" i="6"/>
  <c r="B103" i="6"/>
  <c r="B105" i="33" s="1"/>
  <c r="B105" i="6"/>
  <c r="B104" i="6"/>
  <c r="B106" i="6"/>
  <c r="G75" i="33"/>
  <c r="K34" i="13"/>
  <c r="K21" i="20" s="1"/>
  <c r="K22" i="20" s="1"/>
  <c r="B52" i="13"/>
  <c r="B33" i="20" s="1"/>
  <c r="G43" i="15"/>
  <c r="F25" i="3"/>
  <c r="F27" i="3" s="1"/>
  <c r="M29" i="13"/>
  <c r="M19" i="22" s="1"/>
  <c r="N19" i="22" s="1"/>
  <c r="M25" i="13"/>
  <c r="M17" i="22" s="1"/>
  <c r="N17" i="22" s="1"/>
  <c r="M31" i="13"/>
  <c r="M20" i="22" s="1"/>
  <c r="N20" i="22" s="1"/>
  <c r="M23" i="13"/>
  <c r="M16" i="22" s="1"/>
  <c r="M27" i="13"/>
  <c r="M18" i="22" s="1"/>
  <c r="N18" i="22" s="1"/>
  <c r="N22" i="13"/>
  <c r="I71" i="6"/>
  <c r="I69" i="6"/>
  <c r="I70" i="6"/>
  <c r="I72" i="6"/>
  <c r="B60" i="14"/>
  <c r="B63" i="14"/>
  <c r="B66" i="14"/>
  <c r="I45" i="14"/>
  <c r="K64" i="6"/>
  <c r="K65" i="6"/>
  <c r="K67" i="6"/>
  <c r="K68" i="33" s="1"/>
  <c r="K66" i="6"/>
  <c r="C40" i="13"/>
  <c r="K54" i="6"/>
  <c r="K55" i="33" s="1"/>
  <c r="K56" i="6"/>
  <c r="K57" i="33" s="1"/>
  <c r="K55" i="6"/>
  <c r="K56" i="33" s="1"/>
  <c r="K57" i="6"/>
  <c r="K58" i="33" s="1"/>
  <c r="K51" i="6"/>
  <c r="K52" i="33" s="1"/>
  <c r="K50" i="6"/>
  <c r="K49" i="6"/>
  <c r="K50" i="33" s="1"/>
  <c r="K52" i="6"/>
  <c r="K53" i="33" s="1"/>
  <c r="B83" i="6"/>
  <c r="B84" i="6"/>
  <c r="B85" i="6"/>
  <c r="B86" i="6"/>
  <c r="K48" i="33"/>
  <c r="D30" i="20" l="1"/>
  <c r="D92" i="6"/>
  <c r="D94" i="6" s="1"/>
  <c r="D96" i="33" s="1"/>
  <c r="D97" i="6"/>
  <c r="D101" i="6" s="1"/>
  <c r="D103" i="33" s="1"/>
  <c r="D99" i="33"/>
  <c r="D94" i="33"/>
  <c r="D61" i="14"/>
  <c r="D63" i="14" s="1"/>
  <c r="D89" i="33"/>
  <c r="D51" i="13"/>
  <c r="D52" i="13" s="1"/>
  <c r="D33" i="20" s="1"/>
  <c r="D52" i="14"/>
  <c r="D54" i="14" s="1"/>
  <c r="D84" i="33"/>
  <c r="D82" i="6"/>
  <c r="D85" i="6" s="1"/>
  <c r="M22" i="22"/>
  <c r="N16" i="22"/>
  <c r="E34" i="22"/>
  <c r="D29" i="20"/>
  <c r="D87" i="6"/>
  <c r="D91" i="6" s="1"/>
  <c r="D93" i="33" s="1"/>
  <c r="B34" i="20"/>
  <c r="E46" i="13"/>
  <c r="E30" i="20" s="1"/>
  <c r="E44" i="13"/>
  <c r="E55" i="14" s="1"/>
  <c r="E57" i="14" s="1"/>
  <c r="E48" i="13"/>
  <c r="E97" i="6" s="1"/>
  <c r="D102" i="6"/>
  <c r="D106" i="6" s="1"/>
  <c r="D108" i="33" s="1"/>
  <c r="D104" i="33"/>
  <c r="E50" i="13"/>
  <c r="E32" i="20" s="1"/>
  <c r="E42" i="13"/>
  <c r="E28" i="20" s="1"/>
  <c r="D64" i="14"/>
  <c r="D66" i="14" s="1"/>
  <c r="M24" i="13"/>
  <c r="M16" i="20" s="1"/>
  <c r="N16" i="20" s="1"/>
  <c r="G78" i="33"/>
  <c r="B85" i="33"/>
  <c r="K66" i="33"/>
  <c r="M28" i="13"/>
  <c r="M18" i="20" s="1"/>
  <c r="N18" i="20" s="1"/>
  <c r="N27" i="13"/>
  <c r="B67" i="14"/>
  <c r="B109" i="33"/>
  <c r="B107" i="6"/>
  <c r="B106" i="33"/>
  <c r="B103" i="33"/>
  <c r="B97" i="33"/>
  <c r="B91" i="33"/>
  <c r="I73" i="33"/>
  <c r="I77" i="33" s="1"/>
  <c r="I76" i="6"/>
  <c r="M32" i="13"/>
  <c r="M20" i="20" s="1"/>
  <c r="N20" i="20" s="1"/>
  <c r="N31" i="13"/>
  <c r="K43" i="14"/>
  <c r="K69" i="33"/>
  <c r="K68" i="6"/>
  <c r="B100" i="33"/>
  <c r="K63" i="33"/>
  <c r="I46" i="14"/>
  <c r="I71" i="33"/>
  <c r="I75" i="33" s="1"/>
  <c r="I74" i="6"/>
  <c r="M26" i="13"/>
  <c r="M17" i="20" s="1"/>
  <c r="N17" i="20" s="1"/>
  <c r="N25" i="13"/>
  <c r="B102" i="33"/>
  <c r="B92" i="33"/>
  <c r="B95" i="33"/>
  <c r="B90" i="33"/>
  <c r="K51" i="33"/>
  <c r="C41" i="13"/>
  <c r="C28" i="22" s="1"/>
  <c r="C49" i="13"/>
  <c r="C32" i="22" s="1"/>
  <c r="C45" i="13"/>
  <c r="C30" i="22" s="1"/>
  <c r="C47" i="13"/>
  <c r="C31" i="22" s="1"/>
  <c r="C43" i="13"/>
  <c r="C29" i="22" s="1"/>
  <c r="I70" i="33"/>
  <c r="I74" i="33" s="1"/>
  <c r="I73" i="6"/>
  <c r="M30" i="13"/>
  <c r="M19" i="20" s="1"/>
  <c r="N29" i="13"/>
  <c r="K65" i="33"/>
  <c r="D98" i="6"/>
  <c r="D100" i="33" s="1"/>
  <c r="F28" i="3"/>
  <c r="B87" i="33"/>
  <c r="G25" i="3"/>
  <c r="G27" i="3" s="1"/>
  <c r="H43" i="15"/>
  <c r="B108" i="33"/>
  <c r="B98" i="33"/>
  <c r="B107" i="33"/>
  <c r="B88" i="33"/>
  <c r="I72" i="33"/>
  <c r="I76" i="33" s="1"/>
  <c r="I75" i="6"/>
  <c r="K67" i="33"/>
  <c r="B86" i="33"/>
  <c r="B101" i="33"/>
  <c r="B96" i="33"/>
  <c r="B93" i="33"/>
  <c r="D100" i="6" l="1"/>
  <c r="D102" i="33" s="1"/>
  <c r="D95" i="6"/>
  <c r="D97" i="33" s="1"/>
  <c r="D93" i="6"/>
  <c r="D95" i="33" s="1"/>
  <c r="D99" i="6"/>
  <c r="D101" i="33" s="1"/>
  <c r="D96" i="6"/>
  <c r="D98" i="33" s="1"/>
  <c r="N24" i="13"/>
  <c r="E14" i="21" s="1"/>
  <c r="M43" i="6"/>
  <c r="M45" i="6" s="1"/>
  <c r="E58" i="14"/>
  <c r="E60" i="14" s="1"/>
  <c r="M28" i="14"/>
  <c r="M30" i="14" s="1"/>
  <c r="N30" i="14" s="1"/>
  <c r="M44" i="33"/>
  <c r="N44" i="33" s="1"/>
  <c r="D88" i="6"/>
  <c r="D90" i="33" s="1"/>
  <c r="D86" i="6"/>
  <c r="D88" i="33" s="1"/>
  <c r="D84" i="6"/>
  <c r="D86" i="33" s="1"/>
  <c r="D83" i="6"/>
  <c r="D85" i="33" s="1"/>
  <c r="E94" i="33"/>
  <c r="E29" i="20"/>
  <c r="N22" i="22"/>
  <c r="E102" i="6"/>
  <c r="E104" i="6" s="1"/>
  <c r="E106" i="33" s="1"/>
  <c r="E104" i="33"/>
  <c r="E64" i="14"/>
  <c r="E66" i="14" s="1"/>
  <c r="D89" i="6"/>
  <c r="D91" i="33" s="1"/>
  <c r="D90" i="6"/>
  <c r="D92" i="33" s="1"/>
  <c r="E99" i="33"/>
  <c r="E61" i="14"/>
  <c r="E63" i="14" s="1"/>
  <c r="E31" i="20"/>
  <c r="D34" i="20"/>
  <c r="E92" i="6"/>
  <c r="E93" i="6" s="1"/>
  <c r="E95" i="33" s="1"/>
  <c r="D104" i="6"/>
  <c r="D106" i="33" s="1"/>
  <c r="D105" i="6"/>
  <c r="D107" i="33" s="1"/>
  <c r="D103" i="6"/>
  <c r="D105" i="33" s="1"/>
  <c r="E52" i="14"/>
  <c r="E54" i="14" s="1"/>
  <c r="E82" i="6"/>
  <c r="E86" i="6" s="1"/>
  <c r="D18" i="21"/>
  <c r="C18" i="21"/>
  <c r="B18" i="21"/>
  <c r="D17" i="21"/>
  <c r="C17" i="21"/>
  <c r="B17" i="21"/>
  <c r="C34" i="22"/>
  <c r="C16" i="21"/>
  <c r="B16" i="21"/>
  <c r="D16" i="21"/>
  <c r="D15" i="21"/>
  <c r="C15" i="21"/>
  <c r="B15" i="21"/>
  <c r="E84" i="33"/>
  <c r="E89" i="33"/>
  <c r="E87" i="6"/>
  <c r="E88" i="6" s="1"/>
  <c r="E90" i="33" s="1"/>
  <c r="D107" i="6"/>
  <c r="D109" i="6" s="1"/>
  <c r="D111" i="33" s="1"/>
  <c r="D109" i="33"/>
  <c r="D67" i="14"/>
  <c r="D69" i="14" s="1"/>
  <c r="D70" i="14" s="1"/>
  <c r="E51" i="13"/>
  <c r="N19" i="20"/>
  <c r="M33" i="13"/>
  <c r="N33" i="13" s="1"/>
  <c r="M37" i="14"/>
  <c r="M58" i="6"/>
  <c r="M59" i="33"/>
  <c r="N59" i="33" s="1"/>
  <c r="N30" i="13"/>
  <c r="E17" i="21" s="1"/>
  <c r="C46" i="13"/>
  <c r="C30" i="20" s="1"/>
  <c r="D87" i="33"/>
  <c r="C50" i="13"/>
  <c r="C32" i="20" s="1"/>
  <c r="C42" i="13"/>
  <c r="C28" i="20" s="1"/>
  <c r="E101" i="6"/>
  <c r="E103" i="33" s="1"/>
  <c r="E99" i="6"/>
  <c r="E101" i="33" s="1"/>
  <c r="E98" i="6"/>
  <c r="E100" i="33" s="1"/>
  <c r="E100" i="6"/>
  <c r="E102" i="33" s="1"/>
  <c r="I78" i="33"/>
  <c r="K70" i="6"/>
  <c r="K72" i="6"/>
  <c r="K69" i="6"/>
  <c r="K71" i="6"/>
  <c r="B109" i="6"/>
  <c r="B108" i="6"/>
  <c r="B111" i="6"/>
  <c r="B110" i="6"/>
  <c r="M31" i="14"/>
  <c r="M49" i="33"/>
  <c r="N49" i="33" s="1"/>
  <c r="M48" i="6"/>
  <c r="N26" i="13"/>
  <c r="E15" i="21" s="1"/>
  <c r="K45" i="14"/>
  <c r="B69" i="14"/>
  <c r="F29" i="3"/>
  <c r="I43" i="15"/>
  <c r="H25" i="3"/>
  <c r="H27" i="3" s="1"/>
  <c r="H28" i="3" s="1"/>
  <c r="H29" i="3" s="1"/>
  <c r="H40" i="13" s="1"/>
  <c r="C44" i="13"/>
  <c r="C29" i="20" s="1"/>
  <c r="G28" i="3"/>
  <c r="C48" i="13"/>
  <c r="C31" i="20" s="1"/>
  <c r="M40" i="14"/>
  <c r="M64" i="33"/>
  <c r="N64" i="33" s="1"/>
  <c r="M63" i="6"/>
  <c r="N32" i="13"/>
  <c r="M34" i="14"/>
  <c r="M54" i="33"/>
  <c r="N54" i="33" s="1"/>
  <c r="M53" i="6"/>
  <c r="N28" i="13"/>
  <c r="E16" i="21" s="1"/>
  <c r="M47" i="6" l="1"/>
  <c r="M44" i="6"/>
  <c r="M45" i="33" s="1"/>
  <c r="M46" i="6"/>
  <c r="N46" i="6" s="1"/>
  <c r="N43" i="6"/>
  <c r="N28" i="14"/>
  <c r="C4" i="8" s="1"/>
  <c r="B13" i="27" s="1"/>
  <c r="B14" i="29" s="1"/>
  <c r="E84" i="6"/>
  <c r="E86" i="33" s="1"/>
  <c r="E83" i="6"/>
  <c r="E85" i="33" s="1"/>
  <c r="E85" i="6"/>
  <c r="E87" i="33" s="1"/>
  <c r="E106" i="6"/>
  <c r="E108" i="33" s="1"/>
  <c r="E105" i="6"/>
  <c r="E107" i="33" s="1"/>
  <c r="E103" i="6"/>
  <c r="E105" i="33" s="1"/>
  <c r="D110" i="6"/>
  <c r="D112" i="33" s="1"/>
  <c r="D116" i="33" s="1"/>
  <c r="E96" i="6"/>
  <c r="E98" i="33" s="1"/>
  <c r="E94" i="6"/>
  <c r="E96" i="33" s="1"/>
  <c r="E95" i="6"/>
  <c r="E97" i="33" s="1"/>
  <c r="M34" i="13"/>
  <c r="M21" i="20" s="1"/>
  <c r="D111" i="6"/>
  <c r="D113" i="33" s="1"/>
  <c r="D117" i="33" s="1"/>
  <c r="D108" i="6"/>
  <c r="D110" i="33" s="1"/>
  <c r="D114" i="33" s="1"/>
  <c r="F17" i="21"/>
  <c r="E12" i="26" s="1"/>
  <c r="F16" i="21"/>
  <c r="D12" i="26" s="1"/>
  <c r="E18" i="21"/>
  <c r="F18" i="21" s="1"/>
  <c r="F12" i="26" s="1"/>
  <c r="F15" i="21"/>
  <c r="C12" i="26" s="1"/>
  <c r="D19" i="21"/>
  <c r="C19" i="21"/>
  <c r="B19" i="21"/>
  <c r="E91" i="6"/>
  <c r="E93" i="33" s="1"/>
  <c r="E52" i="13"/>
  <c r="E33" i="20" s="1"/>
  <c r="E34" i="20" s="1"/>
  <c r="E89" i="6"/>
  <c r="E90" i="6"/>
  <c r="E92" i="33" s="1"/>
  <c r="D113" i="6"/>
  <c r="M54" i="6"/>
  <c r="M57" i="6"/>
  <c r="M55" i="6"/>
  <c r="M56" i="6"/>
  <c r="N53" i="6"/>
  <c r="B113" i="33"/>
  <c r="B115" i="6"/>
  <c r="E88" i="33"/>
  <c r="M36" i="14"/>
  <c r="N36" i="14" s="1"/>
  <c r="N34" i="14"/>
  <c r="C10" i="8" s="1"/>
  <c r="B15" i="27" s="1"/>
  <c r="B16" i="29" s="1"/>
  <c r="D115" i="33"/>
  <c r="C55" i="14"/>
  <c r="C89" i="33"/>
  <c r="C87" i="6"/>
  <c r="B111" i="33"/>
  <c r="B113" i="6"/>
  <c r="C64" i="14"/>
  <c r="C104" i="33"/>
  <c r="C102" i="6"/>
  <c r="C58" i="14"/>
  <c r="C94" i="33"/>
  <c r="C92" i="6"/>
  <c r="H49" i="13"/>
  <c r="H32" i="22" s="1"/>
  <c r="H45" i="13"/>
  <c r="H30" i="22" s="1"/>
  <c r="H41" i="13"/>
  <c r="H28" i="22" s="1"/>
  <c r="H47" i="13"/>
  <c r="H31" i="22" s="1"/>
  <c r="H43" i="13"/>
  <c r="H29" i="22" s="1"/>
  <c r="B70" i="14"/>
  <c r="B110" i="33"/>
  <c r="B112" i="6"/>
  <c r="C61" i="14"/>
  <c r="C99" i="33"/>
  <c r="C97" i="6"/>
  <c r="G29" i="3"/>
  <c r="G40" i="13" s="1"/>
  <c r="M48" i="33"/>
  <c r="N47" i="6"/>
  <c r="I25" i="3"/>
  <c r="I27" i="3" s="1"/>
  <c r="I28" i="3" s="1"/>
  <c r="I29" i="3" s="1"/>
  <c r="I40" i="13" s="1"/>
  <c r="J43" i="15"/>
  <c r="K46" i="14"/>
  <c r="K72" i="33"/>
  <c r="K76" i="33" s="1"/>
  <c r="K75" i="6"/>
  <c r="M46" i="33"/>
  <c r="N45" i="6"/>
  <c r="K70" i="33"/>
  <c r="K74" i="33" s="1"/>
  <c r="K73" i="6"/>
  <c r="M62" i="6"/>
  <c r="M60" i="6"/>
  <c r="M59" i="6"/>
  <c r="M61" i="6"/>
  <c r="N58" i="6"/>
  <c r="M65" i="6"/>
  <c r="M66" i="6"/>
  <c r="M64" i="6"/>
  <c r="M67" i="6"/>
  <c r="N63" i="6"/>
  <c r="M51" i="6"/>
  <c r="M49" i="6"/>
  <c r="M50" i="6"/>
  <c r="M52" i="6"/>
  <c r="N48" i="6"/>
  <c r="F40" i="13"/>
  <c r="K73" i="33"/>
  <c r="K77" i="33" s="1"/>
  <c r="K76" i="6"/>
  <c r="M39" i="14"/>
  <c r="N39" i="14" s="1"/>
  <c r="N37" i="14"/>
  <c r="C13" i="8" s="1"/>
  <c r="B16" i="27" s="1"/>
  <c r="B17" i="29" s="1"/>
  <c r="M42" i="14"/>
  <c r="N42" i="14" s="1"/>
  <c r="N40" i="14"/>
  <c r="C16" i="8" s="1"/>
  <c r="B17" i="27" s="1"/>
  <c r="B18" i="29" s="1"/>
  <c r="M33" i="14"/>
  <c r="N33" i="14" s="1"/>
  <c r="N31" i="14"/>
  <c r="C7" i="8" s="1"/>
  <c r="B14" i="27" s="1"/>
  <c r="B15" i="29" s="1"/>
  <c r="B112" i="33"/>
  <c r="B114" i="6"/>
  <c r="K71" i="33"/>
  <c r="K75" i="33" s="1"/>
  <c r="K74" i="6"/>
  <c r="C84" i="33"/>
  <c r="C82" i="6"/>
  <c r="C52" i="14"/>
  <c r="C51" i="13"/>
  <c r="C6" i="8"/>
  <c r="C14" i="29" s="1"/>
  <c r="M47" i="33" l="1"/>
  <c r="N44" i="6"/>
  <c r="N29" i="14"/>
  <c r="C5" i="8" s="1"/>
  <c r="D114" i="6"/>
  <c r="N34" i="13"/>
  <c r="E19" i="21" s="1"/>
  <c r="E20" i="21" s="1"/>
  <c r="M69" i="33"/>
  <c r="N69" i="33" s="1"/>
  <c r="M43" i="14"/>
  <c r="M45" i="14" s="1"/>
  <c r="M68" i="6"/>
  <c r="M70" i="6" s="1"/>
  <c r="H34" i="22"/>
  <c r="D112" i="6"/>
  <c r="D115" i="6"/>
  <c r="H42" i="13"/>
  <c r="H28" i="20" s="1"/>
  <c r="H46" i="13"/>
  <c r="H30" i="20" s="1"/>
  <c r="E67" i="14"/>
  <c r="E69" i="14" s="1"/>
  <c r="E70" i="14" s="1"/>
  <c r="E107" i="6"/>
  <c r="E109" i="33"/>
  <c r="H50" i="13"/>
  <c r="H32" i="20" s="1"/>
  <c r="E91" i="33"/>
  <c r="D118" i="33"/>
  <c r="H48" i="13"/>
  <c r="H31" i="20" s="1"/>
  <c r="H44" i="13"/>
  <c r="H29" i="20" s="1"/>
  <c r="N21" i="20"/>
  <c r="N22" i="20" s="1"/>
  <c r="M22" i="20"/>
  <c r="K78" i="33"/>
  <c r="N47" i="33"/>
  <c r="M53" i="33"/>
  <c r="N53" i="33" s="1"/>
  <c r="N52" i="6"/>
  <c r="M66" i="33"/>
  <c r="N66" i="33" s="1"/>
  <c r="N65" i="6"/>
  <c r="C105" i="6"/>
  <c r="C103" i="6"/>
  <c r="C105" i="33" s="1"/>
  <c r="C106" i="6"/>
  <c r="C104" i="6"/>
  <c r="C18" i="8"/>
  <c r="N41" i="14"/>
  <c r="C17" i="8" s="1"/>
  <c r="C17" i="28" s="1"/>
  <c r="M50" i="33"/>
  <c r="N50" i="33" s="1"/>
  <c r="N49" i="6"/>
  <c r="M62" i="33"/>
  <c r="N62" i="33" s="1"/>
  <c r="N61" i="6"/>
  <c r="C66" i="14"/>
  <c r="B116" i="33"/>
  <c r="F47" i="13"/>
  <c r="F31" i="22" s="1"/>
  <c r="F43" i="13"/>
  <c r="F29" i="22" s="1"/>
  <c r="F41" i="13"/>
  <c r="F28" i="22" s="1"/>
  <c r="F45" i="13"/>
  <c r="F30" i="22" s="1"/>
  <c r="F49" i="13"/>
  <c r="F32" i="22" s="1"/>
  <c r="M52" i="33"/>
  <c r="N52" i="33" s="1"/>
  <c r="N51" i="6"/>
  <c r="M60" i="33"/>
  <c r="N60" i="33" s="1"/>
  <c r="N59" i="6"/>
  <c r="N46" i="33"/>
  <c r="J25" i="3"/>
  <c r="J27" i="3" s="1"/>
  <c r="J28" i="3" s="1"/>
  <c r="J29" i="3" s="1"/>
  <c r="K43" i="15"/>
  <c r="C63" i="14"/>
  <c r="M57" i="33"/>
  <c r="N57" i="33" s="1"/>
  <c r="N56" i="6"/>
  <c r="C98" i="6"/>
  <c r="C101" i="6"/>
  <c r="C100" i="6"/>
  <c r="C99" i="6"/>
  <c r="C54" i="14"/>
  <c r="C85" i="6"/>
  <c r="C84" i="6"/>
  <c r="C86" i="6"/>
  <c r="C83" i="6"/>
  <c r="M61" i="33"/>
  <c r="N61" i="33" s="1"/>
  <c r="N60" i="6"/>
  <c r="I49" i="13"/>
  <c r="I32" i="22" s="1"/>
  <c r="I41" i="13"/>
  <c r="I28" i="22" s="1"/>
  <c r="I45" i="13"/>
  <c r="I30" i="22" s="1"/>
  <c r="I47" i="13"/>
  <c r="I31" i="22" s="1"/>
  <c r="I43" i="13"/>
  <c r="I29" i="22" s="1"/>
  <c r="C95" i="6"/>
  <c r="C93" i="6"/>
  <c r="C96" i="6"/>
  <c r="C94" i="6"/>
  <c r="C12" i="8"/>
  <c r="C16" i="29" s="1"/>
  <c r="N35" i="14"/>
  <c r="C11" i="8" s="1"/>
  <c r="C15" i="28" s="1"/>
  <c r="B117" i="33"/>
  <c r="M56" i="33"/>
  <c r="N56" i="33" s="1"/>
  <c r="N55" i="6"/>
  <c r="C52" i="13"/>
  <c r="C33" i="20" s="1"/>
  <c r="M51" i="33"/>
  <c r="N51" i="33" s="1"/>
  <c r="N50" i="6"/>
  <c r="M63" i="33"/>
  <c r="N63" i="33" s="1"/>
  <c r="N62" i="6"/>
  <c r="B114" i="33"/>
  <c r="B115" i="33"/>
  <c r="M58" i="33"/>
  <c r="N58" i="33" s="1"/>
  <c r="N57" i="6"/>
  <c r="C9" i="8"/>
  <c r="N32" i="14"/>
  <c r="C8" i="8" s="1"/>
  <c r="C14" i="28" s="1"/>
  <c r="M68" i="33"/>
  <c r="N68" i="33" s="1"/>
  <c r="N67" i="6"/>
  <c r="N45" i="33"/>
  <c r="M65" i="33"/>
  <c r="N65" i="33" s="1"/>
  <c r="N64" i="6"/>
  <c r="N48" i="33"/>
  <c r="C60" i="14"/>
  <c r="M55" i="33"/>
  <c r="N55" i="33" s="1"/>
  <c r="N54" i="6"/>
  <c r="C57" i="14"/>
  <c r="C15" i="8"/>
  <c r="C17" i="29" s="1"/>
  <c r="N38" i="14"/>
  <c r="C14" i="8" s="1"/>
  <c r="C16" i="28" s="1"/>
  <c r="M67" i="33"/>
  <c r="N67" i="33" s="1"/>
  <c r="N66" i="6"/>
  <c r="G47" i="13"/>
  <c r="G31" i="22" s="1"/>
  <c r="G43" i="13"/>
  <c r="G29" i="22" s="1"/>
  <c r="G49" i="13"/>
  <c r="G32" i="22" s="1"/>
  <c r="G45" i="13"/>
  <c r="G30" i="22" s="1"/>
  <c r="G41" i="13"/>
  <c r="G28" i="22" s="1"/>
  <c r="C90" i="6"/>
  <c r="C91" i="6"/>
  <c r="C89" i="6"/>
  <c r="C88" i="6"/>
  <c r="M71" i="6" l="1"/>
  <c r="M75" i="6" s="1"/>
  <c r="H82" i="6"/>
  <c r="H86" i="6" s="1"/>
  <c r="H84" i="33"/>
  <c r="H52" i="14"/>
  <c r="H54" i="14" s="1"/>
  <c r="N43" i="14"/>
  <c r="C19" i="8" s="1"/>
  <c r="B18" i="27" s="1"/>
  <c r="B19" i="29" s="1"/>
  <c r="F19" i="21"/>
  <c r="G12" i="26" s="1"/>
  <c r="N68" i="6"/>
  <c r="M72" i="6"/>
  <c r="M76" i="6" s="1"/>
  <c r="M69" i="6"/>
  <c r="M73" i="6" s="1"/>
  <c r="B17" i="25"/>
  <c r="C18" i="29"/>
  <c r="C15" i="29"/>
  <c r="H58" i="14"/>
  <c r="H60" i="14" s="1"/>
  <c r="H97" i="6"/>
  <c r="H98" i="6" s="1"/>
  <c r="H100" i="33" s="1"/>
  <c r="H99" i="33"/>
  <c r="H61" i="14"/>
  <c r="H63" i="14" s="1"/>
  <c r="H92" i="6"/>
  <c r="H96" i="6" s="1"/>
  <c r="H98" i="33" s="1"/>
  <c r="H94" i="33"/>
  <c r="G34" i="22"/>
  <c r="I34" i="22"/>
  <c r="F34" i="22"/>
  <c r="C34" i="20"/>
  <c r="I46" i="13"/>
  <c r="I30" i="20" s="1"/>
  <c r="G44" i="13"/>
  <c r="G29" i="20" s="1"/>
  <c r="G48" i="13"/>
  <c r="G97" i="6" s="1"/>
  <c r="I50" i="13"/>
  <c r="I32" i="20" s="1"/>
  <c r="H102" i="6"/>
  <c r="H106" i="6" s="1"/>
  <c r="H108" i="33" s="1"/>
  <c r="G50" i="13"/>
  <c r="G32" i="20" s="1"/>
  <c r="H89" i="33"/>
  <c r="H104" i="33"/>
  <c r="H51" i="13"/>
  <c r="E110" i="6"/>
  <c r="E111" i="6"/>
  <c r="E109" i="6"/>
  <c r="E108" i="6"/>
  <c r="H87" i="6"/>
  <c r="H89" i="6" s="1"/>
  <c r="H91" i="33" s="1"/>
  <c r="H64" i="14"/>
  <c r="H66" i="14" s="1"/>
  <c r="H55" i="14"/>
  <c r="H57" i="14" s="1"/>
  <c r="G42" i="13"/>
  <c r="G28" i="20" s="1"/>
  <c r="I44" i="13"/>
  <c r="I29" i="20" s="1"/>
  <c r="I42" i="13"/>
  <c r="I28" i="20" s="1"/>
  <c r="G46" i="13"/>
  <c r="G58" i="14" s="1"/>
  <c r="G60" i="14" s="1"/>
  <c r="I48" i="13"/>
  <c r="I31" i="20" s="1"/>
  <c r="M71" i="33"/>
  <c r="N71" i="33" s="1"/>
  <c r="N75" i="33" s="1"/>
  <c r="N70" i="6"/>
  <c r="N74" i="6" s="1"/>
  <c r="F46" i="13"/>
  <c r="F30" i="20" s="1"/>
  <c r="C101" i="33"/>
  <c r="M72" i="33"/>
  <c r="N72" i="33" s="1"/>
  <c r="N76" i="33" s="1"/>
  <c r="N71" i="6"/>
  <c r="N75" i="6" s="1"/>
  <c r="B14" i="25"/>
  <c r="B15" i="25"/>
  <c r="C85" i="33"/>
  <c r="C102" i="33"/>
  <c r="F44" i="13"/>
  <c r="F29" i="20" s="1"/>
  <c r="F42" i="13"/>
  <c r="F28" i="20" s="1"/>
  <c r="B118" i="33"/>
  <c r="C88" i="33"/>
  <c r="C103" i="33"/>
  <c r="F48" i="13"/>
  <c r="F31" i="20" s="1"/>
  <c r="M46" i="14"/>
  <c r="N46" i="14" s="1"/>
  <c r="N45" i="14"/>
  <c r="C90" i="33"/>
  <c r="C67" i="14"/>
  <c r="C109" i="33"/>
  <c r="C107" i="6"/>
  <c r="C96" i="33"/>
  <c r="C86" i="33"/>
  <c r="C100" i="33"/>
  <c r="C107" i="33"/>
  <c r="C91" i="33"/>
  <c r="C98" i="33"/>
  <c r="C87" i="33"/>
  <c r="L43" i="15"/>
  <c r="K25" i="3"/>
  <c r="K27" i="3" s="1"/>
  <c r="K28" i="3" s="1"/>
  <c r="K29" i="3" s="1"/>
  <c r="K40" i="13" s="1"/>
  <c r="B16" i="25"/>
  <c r="C95" i="33"/>
  <c r="J40" i="13"/>
  <c r="C106" i="33"/>
  <c r="C93" i="33"/>
  <c r="C92" i="33"/>
  <c r="C97" i="33"/>
  <c r="F50" i="13"/>
  <c r="F32" i="20" s="1"/>
  <c r="C108" i="33"/>
  <c r="M74" i="6"/>
  <c r="H84" i="6" l="1"/>
  <c r="H86" i="33" s="1"/>
  <c r="H83" i="6"/>
  <c r="H85" i="33" s="1"/>
  <c r="H85" i="6"/>
  <c r="H87" i="33" s="1"/>
  <c r="H94" i="6"/>
  <c r="H96" i="33" s="1"/>
  <c r="N69" i="6"/>
  <c r="N73" i="6" s="1"/>
  <c r="M70" i="33"/>
  <c r="N70" i="33" s="1"/>
  <c r="N74" i="33" s="1"/>
  <c r="H95" i="6"/>
  <c r="H97" i="33" s="1"/>
  <c r="G87" i="6"/>
  <c r="G91" i="6" s="1"/>
  <c r="G93" i="33" s="1"/>
  <c r="H99" i="6"/>
  <c r="H101" i="33" s="1"/>
  <c r="M73" i="33"/>
  <c r="M77" i="33" s="1"/>
  <c r="N72" i="6"/>
  <c r="N76" i="6" s="1"/>
  <c r="H101" i="6"/>
  <c r="H103" i="33" s="1"/>
  <c r="H100" i="6"/>
  <c r="H102" i="33" s="1"/>
  <c r="I82" i="6"/>
  <c r="I84" i="6" s="1"/>
  <c r="I84" i="33"/>
  <c r="I52" i="14"/>
  <c r="I54" i="14" s="1"/>
  <c r="H93" i="6"/>
  <c r="H95" i="33" s="1"/>
  <c r="G89" i="33"/>
  <c r="G55" i="14"/>
  <c r="G57" i="14" s="1"/>
  <c r="G102" i="6"/>
  <c r="G106" i="6" s="1"/>
  <c r="G108" i="33" s="1"/>
  <c r="H90" i="6"/>
  <c r="H92" i="33" s="1"/>
  <c r="H104" i="6"/>
  <c r="H106" i="33" s="1"/>
  <c r="H91" i="6"/>
  <c r="H93" i="33" s="1"/>
  <c r="H103" i="6"/>
  <c r="H105" i="33" s="1"/>
  <c r="G104" i="33"/>
  <c r="G30" i="20"/>
  <c r="I89" i="33"/>
  <c r="I92" i="6"/>
  <c r="I95" i="6" s="1"/>
  <c r="I97" i="33" s="1"/>
  <c r="I94" i="33"/>
  <c r="G82" i="6"/>
  <c r="G84" i="6" s="1"/>
  <c r="I58" i="14"/>
  <c r="I60" i="14" s="1"/>
  <c r="G84" i="33"/>
  <c r="H88" i="6"/>
  <c r="H90" i="33" s="1"/>
  <c r="H105" i="6"/>
  <c r="H107" i="33" s="1"/>
  <c r="G31" i="20"/>
  <c r="I97" i="6"/>
  <c r="I100" i="6" s="1"/>
  <c r="I102" i="33" s="1"/>
  <c r="I99" i="33"/>
  <c r="G92" i="6"/>
  <c r="G93" i="6" s="1"/>
  <c r="G95" i="33" s="1"/>
  <c r="G51" i="13"/>
  <c r="G52" i="13" s="1"/>
  <c r="G67" i="14" s="1"/>
  <c r="G69" i="14" s="1"/>
  <c r="I61" i="14"/>
  <c r="I63" i="14" s="1"/>
  <c r="G94" i="33"/>
  <c r="G64" i="14"/>
  <c r="G66" i="14" s="1"/>
  <c r="I87" i="6"/>
  <c r="I88" i="6" s="1"/>
  <c r="I90" i="33" s="1"/>
  <c r="G52" i="14"/>
  <c r="G54" i="14" s="1"/>
  <c r="I55" i="14"/>
  <c r="I57" i="14" s="1"/>
  <c r="I51" i="13"/>
  <c r="I52" i="13" s="1"/>
  <c r="I33" i="20" s="1"/>
  <c r="I34" i="20" s="1"/>
  <c r="G99" i="33"/>
  <c r="G61" i="14"/>
  <c r="G63" i="14" s="1"/>
  <c r="I102" i="6"/>
  <c r="I105" i="6" s="1"/>
  <c r="I107" i="33" s="1"/>
  <c r="E110" i="33"/>
  <c r="E114" i="33" s="1"/>
  <c r="E112" i="6"/>
  <c r="I104" i="33"/>
  <c r="E111" i="33"/>
  <c r="E115" i="33" s="1"/>
  <c r="E113" i="6"/>
  <c r="I64" i="14"/>
  <c r="I66" i="14" s="1"/>
  <c r="E113" i="33"/>
  <c r="E117" i="33" s="1"/>
  <c r="E115" i="6"/>
  <c r="E112" i="33"/>
  <c r="E116" i="33" s="1"/>
  <c r="E114" i="6"/>
  <c r="H52" i="13"/>
  <c r="H33" i="20" s="1"/>
  <c r="H34" i="20" s="1"/>
  <c r="M75" i="33"/>
  <c r="M76" i="33"/>
  <c r="J49" i="13"/>
  <c r="J32" i="22" s="1"/>
  <c r="J45" i="13"/>
  <c r="J30" i="22" s="1"/>
  <c r="J41" i="13"/>
  <c r="J28" i="22" s="1"/>
  <c r="J47" i="13"/>
  <c r="J31" i="22" s="1"/>
  <c r="J43" i="13"/>
  <c r="J29" i="22" s="1"/>
  <c r="H88" i="33"/>
  <c r="C21" i="8"/>
  <c r="N44" i="14"/>
  <c r="C20" i="8" s="1"/>
  <c r="C18" i="28" s="1"/>
  <c r="F64" i="14"/>
  <c r="F104" i="33"/>
  <c r="F102" i="6"/>
  <c r="N73" i="33"/>
  <c r="N77" i="33" s="1"/>
  <c r="C69" i="14"/>
  <c r="G99" i="6"/>
  <c r="G101" i="33" s="1"/>
  <c r="G101" i="6"/>
  <c r="G103" i="33" s="1"/>
  <c r="G100" i="6"/>
  <c r="G102" i="33" s="1"/>
  <c r="G98" i="6"/>
  <c r="G100" i="33" s="1"/>
  <c r="K49" i="13"/>
  <c r="K32" i="22" s="1"/>
  <c r="K45" i="13"/>
  <c r="K30" i="22" s="1"/>
  <c r="K41" i="13"/>
  <c r="K28" i="22" s="1"/>
  <c r="K43" i="13"/>
  <c r="K29" i="22" s="1"/>
  <c r="K47" i="13"/>
  <c r="K31" i="22" s="1"/>
  <c r="F61" i="14"/>
  <c r="F97" i="6"/>
  <c r="F99" i="33"/>
  <c r="F52" i="14"/>
  <c r="F84" i="33"/>
  <c r="F82" i="6"/>
  <c r="F51" i="13"/>
  <c r="M43" i="15"/>
  <c r="M25" i="3" s="1"/>
  <c r="L25" i="3"/>
  <c r="L27" i="3" s="1"/>
  <c r="L28" i="3" s="1"/>
  <c r="L29" i="3" s="1"/>
  <c r="L40" i="13" s="1"/>
  <c r="F58" i="14"/>
  <c r="F94" i="33"/>
  <c r="F92" i="6"/>
  <c r="C109" i="6"/>
  <c r="C110" i="6"/>
  <c r="C111" i="6"/>
  <c r="C108" i="6"/>
  <c r="F55" i="14"/>
  <c r="F87" i="6"/>
  <c r="F89" i="33"/>
  <c r="M74" i="33" l="1"/>
  <c r="M78" i="33" s="1"/>
  <c r="G88" i="6"/>
  <c r="G90" i="33" s="1"/>
  <c r="G90" i="6"/>
  <c r="G92" i="33" s="1"/>
  <c r="G89" i="6"/>
  <c r="G91" i="33" s="1"/>
  <c r="G94" i="6"/>
  <c r="G96" i="33" s="1"/>
  <c r="I86" i="6"/>
  <c r="I88" i="33" s="1"/>
  <c r="I83" i="6"/>
  <c r="I85" i="33" s="1"/>
  <c r="G83" i="6"/>
  <c r="G85" i="33" s="1"/>
  <c r="I85" i="6"/>
  <c r="I87" i="33" s="1"/>
  <c r="G85" i="6"/>
  <c r="G87" i="33" s="1"/>
  <c r="I94" i="6"/>
  <c r="I96" i="33" s="1"/>
  <c r="G103" i="6"/>
  <c r="G105" i="33" s="1"/>
  <c r="G86" i="6"/>
  <c r="G88" i="33" s="1"/>
  <c r="G104" i="6"/>
  <c r="G106" i="33" s="1"/>
  <c r="I96" i="6"/>
  <c r="I98" i="33" s="1"/>
  <c r="G105" i="6"/>
  <c r="G107" i="33" s="1"/>
  <c r="I93" i="6"/>
  <c r="I95" i="33" s="1"/>
  <c r="I98" i="6"/>
  <c r="I100" i="33" s="1"/>
  <c r="I101" i="6"/>
  <c r="I103" i="33" s="1"/>
  <c r="I99" i="6"/>
  <c r="I101" i="33" s="1"/>
  <c r="G95" i="6"/>
  <c r="G97" i="33" s="1"/>
  <c r="G96" i="6"/>
  <c r="G98" i="33" s="1"/>
  <c r="C19" i="29"/>
  <c r="B18" i="25"/>
  <c r="C22" i="8"/>
  <c r="G70" i="14"/>
  <c r="I104" i="6"/>
  <c r="I106" i="33" s="1"/>
  <c r="I106" i="6"/>
  <c r="I108" i="33" s="1"/>
  <c r="I103" i="6"/>
  <c r="I105" i="33" s="1"/>
  <c r="I89" i="6"/>
  <c r="I91" i="33" s="1"/>
  <c r="I90" i="6"/>
  <c r="I92" i="33" s="1"/>
  <c r="I91" i="6"/>
  <c r="I93" i="33" s="1"/>
  <c r="J34" i="22"/>
  <c r="K34" i="22"/>
  <c r="N78" i="33"/>
  <c r="B14" i="24" s="1"/>
  <c r="G33" i="20"/>
  <c r="G34" i="20" s="1"/>
  <c r="G109" i="33"/>
  <c r="G107" i="6"/>
  <c r="G111" i="6" s="1"/>
  <c r="K48" i="13"/>
  <c r="K31" i="20" s="1"/>
  <c r="I109" i="33"/>
  <c r="I107" i="6"/>
  <c r="I67" i="14"/>
  <c r="I69" i="14" s="1"/>
  <c r="I70" i="14" s="1"/>
  <c r="K44" i="13"/>
  <c r="K29" i="20" s="1"/>
  <c r="E118" i="33"/>
  <c r="K42" i="13"/>
  <c r="K84" i="33" s="1"/>
  <c r="H67" i="14"/>
  <c r="H69" i="14" s="1"/>
  <c r="H70" i="14" s="1"/>
  <c r="H109" i="33"/>
  <c r="H107" i="6"/>
  <c r="K46" i="13"/>
  <c r="K94" i="33" s="1"/>
  <c r="K50" i="13"/>
  <c r="K104" i="33" s="1"/>
  <c r="F60" i="14"/>
  <c r="F54" i="14"/>
  <c r="C70" i="14"/>
  <c r="J44" i="13"/>
  <c r="J29" i="20" s="1"/>
  <c r="C113" i="33"/>
  <c r="C115" i="6"/>
  <c r="C112" i="33"/>
  <c r="C114" i="6"/>
  <c r="C111" i="33"/>
  <c r="C113" i="6"/>
  <c r="L47" i="13"/>
  <c r="L31" i="22" s="1"/>
  <c r="L43" i="13"/>
  <c r="L29" i="22" s="1"/>
  <c r="L41" i="13"/>
  <c r="L28" i="22" s="1"/>
  <c r="L45" i="13"/>
  <c r="L30" i="22" s="1"/>
  <c r="L49" i="13"/>
  <c r="L32" i="22" s="1"/>
  <c r="J48" i="13"/>
  <c r="J31" i="20" s="1"/>
  <c r="C110" i="33"/>
  <c r="C112" i="6"/>
  <c r="G86" i="33"/>
  <c r="F106" i="6"/>
  <c r="F105" i="6"/>
  <c r="F104" i="6"/>
  <c r="F103" i="6"/>
  <c r="J42" i="13"/>
  <c r="J28" i="20" s="1"/>
  <c r="F83" i="6"/>
  <c r="F86" i="6"/>
  <c r="F84" i="6"/>
  <c r="F85" i="6"/>
  <c r="F88" i="6"/>
  <c r="F91" i="6"/>
  <c r="F89" i="6"/>
  <c r="F90" i="6"/>
  <c r="M27" i="3"/>
  <c r="N25" i="3"/>
  <c r="F57" i="14"/>
  <c r="F94" i="6"/>
  <c r="F96" i="6"/>
  <c r="F95" i="6"/>
  <c r="F93" i="6"/>
  <c r="I86" i="33"/>
  <c r="F98" i="6"/>
  <c r="F100" i="6"/>
  <c r="F99" i="6"/>
  <c r="F101" i="6"/>
  <c r="J46" i="13"/>
  <c r="J30" i="20" s="1"/>
  <c r="F52" i="13"/>
  <c r="F33" i="20" s="1"/>
  <c r="F63" i="14"/>
  <c r="F66" i="14"/>
  <c r="J50" i="13"/>
  <c r="J32" i="20" s="1"/>
  <c r="K92" i="6" l="1"/>
  <c r="K94" i="6" s="1"/>
  <c r="K96" i="33" s="1"/>
  <c r="K30" i="20"/>
  <c r="K64" i="14"/>
  <c r="K66" i="14" s="1"/>
  <c r="K89" i="33"/>
  <c r="K58" i="14"/>
  <c r="K60" i="14" s="1"/>
  <c r="K102" i="6"/>
  <c r="K103" i="6" s="1"/>
  <c r="K105" i="33" s="1"/>
  <c r="K82" i="6"/>
  <c r="K85" i="6" s="1"/>
  <c r="K87" i="33" s="1"/>
  <c r="K61" i="14"/>
  <c r="K63" i="14" s="1"/>
  <c r="G113" i="33"/>
  <c r="G117" i="33" s="1"/>
  <c r="G115" i="6"/>
  <c r="K32" i="20"/>
  <c r="K97" i="6"/>
  <c r="K98" i="6" s="1"/>
  <c r="K100" i="33" s="1"/>
  <c r="L34" i="22"/>
  <c r="K52" i="14"/>
  <c r="K54" i="14" s="1"/>
  <c r="K55" i="14"/>
  <c r="K57" i="14" s="1"/>
  <c r="K28" i="20"/>
  <c r="G109" i="6"/>
  <c r="G110" i="6"/>
  <c r="G108" i="6"/>
  <c r="F34" i="20"/>
  <c r="K99" i="33"/>
  <c r="L50" i="13"/>
  <c r="L64" i="14" s="1"/>
  <c r="L66" i="14" s="1"/>
  <c r="I111" i="6"/>
  <c r="I109" i="6"/>
  <c r="I110" i="6"/>
  <c r="I108" i="6"/>
  <c r="L46" i="13"/>
  <c r="L94" i="33" s="1"/>
  <c r="K51" i="13"/>
  <c r="L48" i="13"/>
  <c r="L31" i="20" s="1"/>
  <c r="L42" i="13"/>
  <c r="L28" i="20" s="1"/>
  <c r="H109" i="6"/>
  <c r="H111" i="6"/>
  <c r="H108" i="6"/>
  <c r="H110" i="6"/>
  <c r="K87" i="6"/>
  <c r="K90" i="6" s="1"/>
  <c r="K92" i="33" s="1"/>
  <c r="L44" i="13"/>
  <c r="L29" i="20" s="1"/>
  <c r="F102" i="33"/>
  <c r="F96" i="33"/>
  <c r="F91" i="33"/>
  <c r="C117" i="33"/>
  <c r="C115" i="33"/>
  <c r="F67" i="14"/>
  <c r="F107" i="6"/>
  <c r="F109" i="33"/>
  <c r="F90" i="33"/>
  <c r="J55" i="14"/>
  <c r="J89" i="33"/>
  <c r="J87" i="6"/>
  <c r="F105" i="33"/>
  <c r="J52" i="14"/>
  <c r="J82" i="6"/>
  <c r="J84" i="33"/>
  <c r="J51" i="13"/>
  <c r="F87" i="33"/>
  <c r="F106" i="33"/>
  <c r="M28" i="3"/>
  <c r="N28" i="3" s="1"/>
  <c r="N27" i="3"/>
  <c r="N26" i="3" s="1"/>
  <c r="F107" i="33"/>
  <c r="C116" i="33"/>
  <c r="F93" i="33"/>
  <c r="F95" i="33"/>
  <c r="F86" i="33"/>
  <c r="J58" i="14"/>
  <c r="J92" i="6"/>
  <c r="J94" i="33"/>
  <c r="F103" i="33"/>
  <c r="F97" i="33"/>
  <c r="F88" i="33"/>
  <c r="F108" i="33"/>
  <c r="C114" i="33"/>
  <c r="F100" i="33"/>
  <c r="J99" i="33"/>
  <c r="J97" i="6"/>
  <c r="J61" i="14"/>
  <c r="J64" i="14"/>
  <c r="J102" i="6"/>
  <c r="J104" i="33"/>
  <c r="F101" i="33"/>
  <c r="F98" i="33"/>
  <c r="F92" i="33"/>
  <c r="F85" i="33"/>
  <c r="C30" i="30"/>
  <c r="C32" i="30" s="1"/>
  <c r="D31" i="30" s="1"/>
  <c r="L58" i="14" l="1"/>
  <c r="L60" i="14" s="1"/>
  <c r="K93" i="6"/>
  <c r="K95" i="33" s="1"/>
  <c r="K96" i="6"/>
  <c r="K98" i="33" s="1"/>
  <c r="K95" i="6"/>
  <c r="K97" i="33" s="1"/>
  <c r="K99" i="6"/>
  <c r="K101" i="33" s="1"/>
  <c r="K100" i="6"/>
  <c r="K102" i="33" s="1"/>
  <c r="K101" i="6"/>
  <c r="K103" i="33" s="1"/>
  <c r="K104" i="6"/>
  <c r="K106" i="33" s="1"/>
  <c r="K106" i="6"/>
  <c r="K108" i="33" s="1"/>
  <c r="L92" i="6"/>
  <c r="L95" i="6" s="1"/>
  <c r="K105" i="6"/>
  <c r="K107" i="33" s="1"/>
  <c r="L30" i="20"/>
  <c r="K86" i="6"/>
  <c r="K88" i="33" s="1"/>
  <c r="K83" i="6"/>
  <c r="K85" i="33" s="1"/>
  <c r="K84" i="6"/>
  <c r="K86" i="33" s="1"/>
  <c r="L32" i="20"/>
  <c r="L82" i="6"/>
  <c r="L84" i="6" s="1"/>
  <c r="L52" i="14"/>
  <c r="L54" i="14" s="1"/>
  <c r="L87" i="6"/>
  <c r="L89" i="6" s="1"/>
  <c r="L91" i="33" s="1"/>
  <c r="L84" i="33"/>
  <c r="L89" i="33"/>
  <c r="K91" i="6"/>
  <c r="K93" i="33" s="1"/>
  <c r="L55" i="14"/>
  <c r="L57" i="14" s="1"/>
  <c r="K88" i="6"/>
  <c r="K90" i="33" s="1"/>
  <c r="K89" i="6"/>
  <c r="K91" i="33" s="1"/>
  <c r="L61" i="14"/>
  <c r="L63" i="14" s="1"/>
  <c r="G110" i="33"/>
  <c r="G114" i="33" s="1"/>
  <c r="G112" i="6"/>
  <c r="G112" i="33"/>
  <c r="G116" i="33" s="1"/>
  <c r="G114" i="6"/>
  <c r="G111" i="33"/>
  <c r="G115" i="33" s="1"/>
  <c r="G113" i="6"/>
  <c r="H113" i="33"/>
  <c r="H117" i="33" s="1"/>
  <c r="H115" i="6"/>
  <c r="L51" i="13"/>
  <c r="H111" i="33"/>
  <c r="H115" i="33" s="1"/>
  <c r="H113" i="6"/>
  <c r="I110" i="33"/>
  <c r="I114" i="33" s="1"/>
  <c r="I112" i="6"/>
  <c r="I114" i="6"/>
  <c r="I112" i="33"/>
  <c r="I116" i="33" s="1"/>
  <c r="H110" i="33"/>
  <c r="H114" i="33" s="1"/>
  <c r="H112" i="6"/>
  <c r="L102" i="6"/>
  <c r="L106" i="6" s="1"/>
  <c r="L108" i="33" s="1"/>
  <c r="I111" i="33"/>
  <c r="I115" i="33" s="1"/>
  <c r="I113" i="6"/>
  <c r="L104" i="33"/>
  <c r="L97" i="6"/>
  <c r="L101" i="6" s="1"/>
  <c r="L103" i="33" s="1"/>
  <c r="L99" i="33"/>
  <c r="I113" i="33"/>
  <c r="I117" i="33" s="1"/>
  <c r="I115" i="6"/>
  <c r="H112" i="33"/>
  <c r="H116" i="33" s="1"/>
  <c r="H114" i="6"/>
  <c r="K52" i="13"/>
  <c r="K33" i="20" s="1"/>
  <c r="K34" i="20" s="1"/>
  <c r="C118" i="33"/>
  <c r="J90" i="6"/>
  <c r="J89" i="6"/>
  <c r="J88" i="6"/>
  <c r="J91" i="6"/>
  <c r="J66" i="14"/>
  <c r="J60" i="14"/>
  <c r="J57" i="14"/>
  <c r="F109" i="6"/>
  <c r="F111" i="6"/>
  <c r="F108" i="6"/>
  <c r="F110" i="6"/>
  <c r="J52" i="13"/>
  <c r="J33" i="20" s="1"/>
  <c r="F69" i="14"/>
  <c r="J63" i="14"/>
  <c r="M29" i="3"/>
  <c r="J103" i="6"/>
  <c r="J105" i="6"/>
  <c r="J104" i="6"/>
  <c r="J106" i="6"/>
  <c r="J100" i="6"/>
  <c r="J98" i="6"/>
  <c r="J99" i="6"/>
  <c r="J101" i="6"/>
  <c r="J85" i="6"/>
  <c r="J86" i="6"/>
  <c r="J84" i="6"/>
  <c r="J83" i="6"/>
  <c r="J95" i="6"/>
  <c r="J93" i="6"/>
  <c r="J94" i="6"/>
  <c r="J96" i="6"/>
  <c r="J54" i="14"/>
  <c r="E30" i="30"/>
  <c r="L94" i="6" l="1"/>
  <c r="L96" i="33" s="1"/>
  <c r="L93" i="6"/>
  <c r="L95" i="33" s="1"/>
  <c r="L96" i="6"/>
  <c r="L98" i="33" s="1"/>
  <c r="L83" i="6"/>
  <c r="L85" i="33" s="1"/>
  <c r="L86" i="6"/>
  <c r="L88" i="33" s="1"/>
  <c r="L85" i="6"/>
  <c r="L87" i="33" s="1"/>
  <c r="L88" i="6"/>
  <c r="L90" i="33" s="1"/>
  <c r="L90" i="6"/>
  <c r="L92" i="33" s="1"/>
  <c r="L104" i="6"/>
  <c r="L106" i="33" s="1"/>
  <c r="L105" i="6"/>
  <c r="L107" i="33" s="1"/>
  <c r="L103" i="6"/>
  <c r="L105" i="33" s="1"/>
  <c r="L91" i="6"/>
  <c r="L93" i="33" s="1"/>
  <c r="G118" i="33"/>
  <c r="J34" i="20"/>
  <c r="K67" i="14"/>
  <c r="K69" i="14" s="1"/>
  <c r="K70" i="14" s="1"/>
  <c r="K107" i="6"/>
  <c r="K109" i="33"/>
  <c r="L99" i="6"/>
  <c r="L101" i="33" s="1"/>
  <c r="I118" i="33"/>
  <c r="L98" i="6"/>
  <c r="L100" i="33" s="1"/>
  <c r="L100" i="6"/>
  <c r="L102" i="33" s="1"/>
  <c r="H118" i="33"/>
  <c r="L52" i="13"/>
  <c r="L33" i="20" s="1"/>
  <c r="J96" i="33"/>
  <c r="J108" i="33"/>
  <c r="L97" i="33"/>
  <c r="F111" i="33"/>
  <c r="F113" i="6"/>
  <c r="J93" i="33"/>
  <c r="J90" i="33"/>
  <c r="J97" i="33"/>
  <c r="J107" i="33"/>
  <c r="M40" i="13"/>
  <c r="N29" i="3"/>
  <c r="L86" i="33"/>
  <c r="J91" i="33"/>
  <c r="J103" i="33"/>
  <c r="J105" i="33"/>
  <c r="J92" i="33"/>
  <c r="J106" i="33"/>
  <c r="J67" i="14"/>
  <c r="J109" i="33"/>
  <c r="J107" i="6"/>
  <c r="J85" i="33"/>
  <c r="J101" i="33"/>
  <c r="J86" i="33"/>
  <c r="F112" i="33"/>
  <c r="F114" i="6"/>
  <c r="J88" i="33"/>
  <c r="J102" i="33"/>
  <c r="F70" i="14"/>
  <c r="F110" i="33"/>
  <c r="F112" i="6"/>
  <c r="J95" i="33"/>
  <c r="J100" i="33"/>
  <c r="J98" i="33"/>
  <c r="J87" i="33"/>
  <c r="F113" i="33"/>
  <c r="F115" i="6"/>
  <c r="D30" i="30"/>
  <c r="D32" i="30" s="1"/>
  <c r="E31" i="30" s="1"/>
  <c r="E32" i="30" s="1"/>
  <c r="F31" i="30" s="1"/>
  <c r="L34" i="20" l="1"/>
  <c r="L109" i="33"/>
  <c r="L67" i="14"/>
  <c r="L69" i="14" s="1"/>
  <c r="L70" i="14" s="1"/>
  <c r="L107" i="6"/>
  <c r="K111" i="6"/>
  <c r="K109" i="6"/>
  <c r="K110" i="6"/>
  <c r="K108" i="6"/>
  <c r="F115" i="33"/>
  <c r="J111" i="6"/>
  <c r="J108" i="6"/>
  <c r="J110" i="6"/>
  <c r="J109" i="6"/>
  <c r="J69" i="14"/>
  <c r="M47" i="13"/>
  <c r="M31" i="22" s="1"/>
  <c r="N31" i="22" s="1"/>
  <c r="M43" i="13"/>
  <c r="M29" i="22" s="1"/>
  <c r="N29" i="22" s="1"/>
  <c r="M49" i="13"/>
  <c r="M32" i="22" s="1"/>
  <c r="N32" i="22" s="1"/>
  <c r="M45" i="13"/>
  <c r="M30" i="22" s="1"/>
  <c r="M41" i="13"/>
  <c r="M28" i="22" s="1"/>
  <c r="N28" i="22" s="1"/>
  <c r="N40" i="13"/>
  <c r="F116" i="33"/>
  <c r="F117" i="33"/>
  <c r="F114" i="33"/>
  <c r="G30" i="30"/>
  <c r="F118" i="33" l="1"/>
  <c r="M34" i="22"/>
  <c r="N30" i="22"/>
  <c r="L109" i="6"/>
  <c r="L108" i="6"/>
  <c r="L110" i="6"/>
  <c r="L111" i="6"/>
  <c r="K110" i="33"/>
  <c r="K114" i="33" s="1"/>
  <c r="K112" i="6"/>
  <c r="K114" i="6"/>
  <c r="K112" i="33"/>
  <c r="K116" i="33" s="1"/>
  <c r="K111" i="33"/>
  <c r="K115" i="33" s="1"/>
  <c r="K113" i="6"/>
  <c r="K113" i="33"/>
  <c r="K117" i="33" s="1"/>
  <c r="K115" i="6"/>
  <c r="J111" i="33"/>
  <c r="J113" i="6"/>
  <c r="J110" i="33"/>
  <c r="J112" i="6"/>
  <c r="M48" i="13"/>
  <c r="M31" i="20" s="1"/>
  <c r="N31" i="20" s="1"/>
  <c r="N47" i="13"/>
  <c r="J70" i="14"/>
  <c r="J113" i="33"/>
  <c r="J115" i="6"/>
  <c r="J112" i="33"/>
  <c r="J114" i="6"/>
  <c r="M44" i="13"/>
  <c r="M29" i="20" s="1"/>
  <c r="N29" i="20" s="1"/>
  <c r="N43" i="13"/>
  <c r="M42" i="13"/>
  <c r="M28" i="20" s="1"/>
  <c r="N28" i="20" s="1"/>
  <c r="N41" i="13"/>
  <c r="M46" i="13"/>
  <c r="M30" i="20" s="1"/>
  <c r="N30" i="20" s="1"/>
  <c r="N45" i="13"/>
  <c r="M50" i="13"/>
  <c r="M32" i="20" s="1"/>
  <c r="N49" i="13"/>
  <c r="F30" i="30"/>
  <c r="F32" i="30" s="1"/>
  <c r="G31" i="30" s="1"/>
  <c r="G32" i="30" s="1"/>
  <c r="H31" i="30" s="1"/>
  <c r="N34" i="22" l="1"/>
  <c r="B25" i="21"/>
  <c r="D25" i="21"/>
  <c r="C25" i="21"/>
  <c r="D28" i="21"/>
  <c r="C28" i="21"/>
  <c r="B28" i="21"/>
  <c r="D29" i="21"/>
  <c r="C29" i="21"/>
  <c r="B29" i="21"/>
  <c r="D27" i="21"/>
  <c r="C27" i="21"/>
  <c r="B27" i="21"/>
  <c r="B26" i="21"/>
  <c r="D26" i="21"/>
  <c r="C26" i="21"/>
  <c r="N32" i="20"/>
  <c r="K118" i="33"/>
  <c r="L113" i="33"/>
  <c r="L117" i="33" s="1"/>
  <c r="L115" i="6"/>
  <c r="L112" i="33"/>
  <c r="L116" i="33" s="1"/>
  <c r="L114" i="6"/>
  <c r="L110" i="33"/>
  <c r="L114" i="33" s="1"/>
  <c r="L112" i="6"/>
  <c r="L111" i="33"/>
  <c r="L115" i="33" s="1"/>
  <c r="L113" i="6"/>
  <c r="M61" i="14"/>
  <c r="M99" i="33"/>
  <c r="N99" i="33" s="1"/>
  <c r="M97" i="6"/>
  <c r="N48" i="13"/>
  <c r="E28" i="21" s="1"/>
  <c r="M58" i="14"/>
  <c r="M94" i="33"/>
  <c r="N94" i="33" s="1"/>
  <c r="M92" i="6"/>
  <c r="N46" i="13"/>
  <c r="E27" i="21" s="1"/>
  <c r="J114" i="33"/>
  <c r="M64" i="14"/>
  <c r="M104" i="33"/>
  <c r="N104" i="33" s="1"/>
  <c r="M102" i="6"/>
  <c r="N50" i="13"/>
  <c r="E29" i="21" s="1"/>
  <c r="J116" i="33"/>
  <c r="J117" i="33"/>
  <c r="M52" i="14"/>
  <c r="M84" i="33"/>
  <c r="N84" i="33" s="1"/>
  <c r="M82" i="6"/>
  <c r="N42" i="13"/>
  <c r="E25" i="21" s="1"/>
  <c r="M51" i="13"/>
  <c r="M55" i="14"/>
  <c r="M89" i="33"/>
  <c r="N89" i="33" s="1"/>
  <c r="M87" i="6"/>
  <c r="N44" i="13"/>
  <c r="E26" i="21" s="1"/>
  <c r="J115" i="33"/>
  <c r="I30" i="30"/>
  <c r="F28" i="21" l="1"/>
  <c r="E21" i="26" s="1"/>
  <c r="F29" i="21"/>
  <c r="F21" i="26" s="1"/>
  <c r="F25" i="21"/>
  <c r="B21" i="26" s="1"/>
  <c r="F27" i="21"/>
  <c r="D21" i="26" s="1"/>
  <c r="F26" i="21"/>
  <c r="C21" i="26" s="1"/>
  <c r="L118" i="33"/>
  <c r="M93" i="6"/>
  <c r="M96" i="6"/>
  <c r="M94" i="6"/>
  <c r="M95" i="6"/>
  <c r="N92" i="6"/>
  <c r="M84" i="6"/>
  <c r="M85" i="6"/>
  <c r="M83" i="6"/>
  <c r="M86" i="6"/>
  <c r="N82" i="6"/>
  <c r="M103" i="6"/>
  <c r="M105" i="6"/>
  <c r="M104" i="6"/>
  <c r="M106" i="6"/>
  <c r="N102" i="6"/>
  <c r="M60" i="14"/>
  <c r="N60" i="14" s="1"/>
  <c r="N58" i="14"/>
  <c r="D10" i="8" s="1"/>
  <c r="B25" i="27" s="1"/>
  <c r="B27" i="29" s="1"/>
  <c r="M57" i="14"/>
  <c r="N57" i="14" s="1"/>
  <c r="N55" i="14"/>
  <c r="D7" i="8" s="1"/>
  <c r="B24" i="27" s="1"/>
  <c r="B26" i="29" s="1"/>
  <c r="M52" i="13"/>
  <c r="M33" i="20" s="1"/>
  <c r="N51" i="13"/>
  <c r="M54" i="14"/>
  <c r="N52" i="14"/>
  <c r="D4" i="8" s="1"/>
  <c r="B23" i="27" s="1"/>
  <c r="B25" i="29" s="1"/>
  <c r="M66" i="14"/>
  <c r="N66" i="14" s="1"/>
  <c r="N64" i="14"/>
  <c r="D16" i="8" s="1"/>
  <c r="M99" i="6"/>
  <c r="M101" i="6"/>
  <c r="M98" i="6"/>
  <c r="M100" i="6"/>
  <c r="N97" i="6"/>
  <c r="M88" i="6"/>
  <c r="M90" i="6"/>
  <c r="M91" i="6"/>
  <c r="M89" i="6"/>
  <c r="N87" i="6"/>
  <c r="J118" i="33"/>
  <c r="M63" i="14"/>
  <c r="N63" i="14" s="1"/>
  <c r="N61" i="14"/>
  <c r="D13" i="8" s="1"/>
  <c r="B26" i="27" s="1"/>
  <c r="B28" i="29" s="1"/>
  <c r="H30" i="30"/>
  <c r="H32" i="30" s="1"/>
  <c r="I31" i="30" s="1"/>
  <c r="I32" i="30" s="1"/>
  <c r="J31" i="30" s="1"/>
  <c r="E16" i="8" l="1"/>
  <c r="B27" i="27"/>
  <c r="B29" i="29" s="1"/>
  <c r="C30" i="21"/>
  <c r="C31" i="21" s="1"/>
  <c r="D30" i="21"/>
  <c r="D31" i="21" s="1"/>
  <c r="B30" i="21"/>
  <c r="N33" i="20"/>
  <c r="N34" i="20" s="1"/>
  <c r="M34" i="20"/>
  <c r="M92" i="33"/>
  <c r="N92" i="33" s="1"/>
  <c r="N90" i="6"/>
  <c r="N54" i="14"/>
  <c r="M86" i="33"/>
  <c r="N84" i="6"/>
  <c r="D18" i="8"/>
  <c r="N65" i="14"/>
  <c r="D17" i="8" s="1"/>
  <c r="C27" i="28" s="1"/>
  <c r="M87" i="33"/>
  <c r="N85" i="6"/>
  <c r="M102" i="33"/>
  <c r="N102" i="33" s="1"/>
  <c r="N100" i="6"/>
  <c r="M106" i="33"/>
  <c r="N106" i="33" s="1"/>
  <c r="N104" i="6"/>
  <c r="M108" i="33"/>
  <c r="N108" i="33" s="1"/>
  <c r="N106" i="6"/>
  <c r="M100" i="33"/>
  <c r="N100" i="33" s="1"/>
  <c r="N98" i="6"/>
  <c r="M67" i="14"/>
  <c r="M109" i="33"/>
  <c r="N109" i="33" s="1"/>
  <c r="M107" i="6"/>
  <c r="N52" i="13"/>
  <c r="E30" i="21" s="1"/>
  <c r="E31" i="21" s="1"/>
  <c r="M107" i="33"/>
  <c r="N107" i="33" s="1"/>
  <c r="N105" i="6"/>
  <c r="M97" i="33"/>
  <c r="N97" i="33" s="1"/>
  <c r="N95" i="6"/>
  <c r="N59" i="14"/>
  <c r="D11" i="8" s="1"/>
  <c r="C25" i="28" s="1"/>
  <c r="D12" i="8"/>
  <c r="C27" i="29" s="1"/>
  <c r="M90" i="33"/>
  <c r="N90" i="33" s="1"/>
  <c r="N88" i="6"/>
  <c r="E13" i="8"/>
  <c r="D15" i="8"/>
  <c r="C28" i="29" s="1"/>
  <c r="N62" i="14"/>
  <c r="D14" i="8" s="1"/>
  <c r="C26" i="28" s="1"/>
  <c r="M103" i="33"/>
  <c r="N103" i="33" s="1"/>
  <c r="N101" i="6"/>
  <c r="M105" i="33"/>
  <c r="N105" i="33" s="1"/>
  <c r="N103" i="6"/>
  <c r="M101" i="33"/>
  <c r="N101" i="33" s="1"/>
  <c r="N99" i="6"/>
  <c r="N56" i="14"/>
  <c r="D8" i="8" s="1"/>
  <c r="C24" i="28" s="1"/>
  <c r="D9" i="8"/>
  <c r="M98" i="33"/>
  <c r="N98" i="33" s="1"/>
  <c r="N96" i="6"/>
  <c r="M85" i="33"/>
  <c r="N83" i="6"/>
  <c r="E7" i="8"/>
  <c r="M96" i="33"/>
  <c r="N96" i="33" s="1"/>
  <c r="N94" i="6"/>
  <c r="M91" i="33"/>
  <c r="N91" i="33" s="1"/>
  <c r="N89" i="6"/>
  <c r="M93" i="33"/>
  <c r="N93" i="33" s="1"/>
  <c r="N91" i="6"/>
  <c r="E10" i="8"/>
  <c r="M88" i="33"/>
  <c r="N86" i="6"/>
  <c r="M95" i="33"/>
  <c r="N95" i="33" s="1"/>
  <c r="N93" i="6"/>
  <c r="K30" i="30"/>
  <c r="E18" i="8" l="1"/>
  <c r="E17" i="8" s="1"/>
  <c r="C29" i="29"/>
  <c r="B27" i="25"/>
  <c r="C26" i="29"/>
  <c r="B31" i="21"/>
  <c r="F31" i="21" s="1"/>
  <c r="F30" i="21"/>
  <c r="G21" i="26" s="1"/>
  <c r="B25" i="25"/>
  <c r="E12" i="8"/>
  <c r="E11" i="8" s="1"/>
  <c r="B24" i="25"/>
  <c r="E9" i="8"/>
  <c r="B26" i="25"/>
  <c r="E15" i="8"/>
  <c r="E14" i="8" s="1"/>
  <c r="N86" i="33"/>
  <c r="M69" i="14"/>
  <c r="N67" i="14"/>
  <c r="D19" i="8" s="1"/>
  <c r="B28" i="27" s="1"/>
  <c r="B30" i="29" s="1"/>
  <c r="N53" i="14"/>
  <c r="D5" i="8" s="1"/>
  <c r="C23" i="28" s="1"/>
  <c r="D6" i="8"/>
  <c r="C25" i="29" s="1"/>
  <c r="N85" i="33"/>
  <c r="N88" i="33"/>
  <c r="M109" i="6"/>
  <c r="M111" i="6"/>
  <c r="M110" i="6"/>
  <c r="M108" i="6"/>
  <c r="N107" i="6"/>
  <c r="N87" i="33"/>
  <c r="L30" i="30"/>
  <c r="J30" i="30"/>
  <c r="J32" i="30" s="1"/>
  <c r="K31" i="30" s="1"/>
  <c r="K32" i="30" s="1"/>
  <c r="L31" i="30" s="1"/>
  <c r="H21" i="26" l="1"/>
  <c r="E8" i="8"/>
  <c r="N69" i="14"/>
  <c r="M70" i="14"/>
  <c r="N70" i="14" s="1"/>
  <c r="M112" i="33"/>
  <c r="N110" i="6"/>
  <c r="N114" i="6" s="1"/>
  <c r="M114" i="6"/>
  <c r="E19" i="8"/>
  <c r="M111" i="33"/>
  <c r="N109" i="6"/>
  <c r="N113" i="6" s="1"/>
  <c r="M113" i="6"/>
  <c r="B23" i="25"/>
  <c r="E6" i="8"/>
  <c r="M110" i="33"/>
  <c r="N108" i="6"/>
  <c r="N112" i="6" s="1"/>
  <c r="M112" i="6"/>
  <c r="M113" i="33"/>
  <c r="N111" i="6"/>
  <c r="N115" i="6" s="1"/>
  <c r="M115" i="6"/>
  <c r="L32" i="30"/>
  <c r="M31" i="30" s="1"/>
  <c r="M30" i="30"/>
  <c r="N112" i="33" l="1"/>
  <c r="N116" i="33" s="1"/>
  <c r="M116" i="33"/>
  <c r="N110" i="33"/>
  <c r="N114" i="33" s="1"/>
  <c r="M114" i="33"/>
  <c r="N111" i="33"/>
  <c r="N115" i="33" s="1"/>
  <c r="M115" i="33"/>
  <c r="N113" i="33"/>
  <c r="N117" i="33" s="1"/>
  <c r="M117" i="33"/>
  <c r="N68" i="14"/>
  <c r="D20" i="8" s="1"/>
  <c r="C28" i="28" s="1"/>
  <c r="D21" i="8"/>
  <c r="M32" i="30"/>
  <c r="N31" i="30" s="1"/>
  <c r="B28" i="25" l="1"/>
  <c r="C30" i="29"/>
  <c r="D22" i="8"/>
  <c r="M118" i="33"/>
  <c r="N118" i="33"/>
  <c r="B24" i="24" s="1"/>
  <c r="E21" i="8"/>
  <c r="O24" i="30"/>
  <c r="E20" i="8" l="1"/>
  <c r="E22" i="8"/>
  <c r="C31" i="29"/>
  <c r="B29" i="25"/>
  <c r="N30" i="30"/>
  <c r="N32" i="30" s="1"/>
  <c r="O29" i="30"/>
  <c r="D28" i="25" l="1"/>
  <c r="D23" i="25"/>
  <c r="B23" i="26" s="1"/>
  <c r="D27" i="25"/>
  <c r="D24" i="25"/>
  <c r="D25" i="25"/>
  <c r="D26" i="25"/>
  <c r="E23" i="26" l="1"/>
  <c r="D23" i="26"/>
  <c r="C23" i="26"/>
  <c r="F23" i="26"/>
  <c r="G23" i="26"/>
  <c r="D29" i="25"/>
  <c r="H23" i="26" l="1"/>
  <c r="N23" i="13" l="1"/>
  <c r="D14" i="21" l="1"/>
  <c r="D20" i="21" s="1"/>
  <c r="C14" i="21"/>
  <c r="C20" i="21" s="1"/>
  <c r="B14" i="21"/>
  <c r="C13" i="28"/>
  <c r="E4" i="8"/>
  <c r="E5" i="8" s="1"/>
  <c r="F14" i="21" l="1"/>
  <c r="B12" i="26" s="1"/>
  <c r="H12" i="26" s="1"/>
  <c r="B20" i="21"/>
  <c r="F20" i="21" s="1"/>
  <c r="B13" i="25"/>
  <c r="B19" i="25" l="1"/>
  <c r="C20" i="29" l="1"/>
  <c r="D18" i="25"/>
  <c r="D13" i="25"/>
  <c r="B14" i="26" s="1"/>
  <c r="D17" i="25"/>
  <c r="D14" i="25"/>
  <c r="D15" i="25"/>
  <c r="D16" i="25"/>
  <c r="E14" i="26" l="1"/>
  <c r="D14" i="26"/>
  <c r="C14" i="26"/>
  <c r="F14" i="26"/>
  <c r="G14" i="26"/>
  <c r="D19" i="25"/>
  <c r="H14" i="26" l="1"/>
  <c r="E87" i="1" l="1"/>
  <c r="B8" i="24"/>
  <c r="C9" i="25" s="1"/>
  <c r="E3" i="25" l="1"/>
  <c r="E5" i="25"/>
  <c r="D4" i="26" s="1"/>
  <c r="E8" i="25"/>
  <c r="G4" i="26" s="1"/>
  <c r="E6" i="25"/>
  <c r="E4" i="26" s="1"/>
  <c r="E4" i="25"/>
  <c r="C4" i="26" s="1"/>
  <c r="E7" i="25"/>
  <c r="F4" i="26" s="1"/>
  <c r="B28" i="24"/>
  <c r="C29" i="25" s="1"/>
  <c r="B18" i="24"/>
  <c r="C19" i="25" s="1"/>
  <c r="E26" i="25" l="1"/>
  <c r="E22" i="26" s="1"/>
  <c r="E23" i="25"/>
  <c r="E27" i="25"/>
  <c r="F22" i="26" s="1"/>
  <c r="E25" i="25"/>
  <c r="D22" i="26" s="1"/>
  <c r="E24" i="25"/>
  <c r="C22" i="26" s="1"/>
  <c r="E28" i="25"/>
  <c r="G22" i="26" s="1"/>
  <c r="C6" i="26"/>
  <c r="C7" i="26" s="1"/>
  <c r="C4" i="27" s="1"/>
  <c r="E17" i="25"/>
  <c r="F13" i="26" s="1"/>
  <c r="E18" i="25"/>
  <c r="G13" i="26" s="1"/>
  <c r="E14" i="25"/>
  <c r="C13" i="26" s="1"/>
  <c r="E15" i="25"/>
  <c r="D13" i="26" s="1"/>
  <c r="E13" i="25"/>
  <c r="E16" i="25"/>
  <c r="E13" i="26" s="1"/>
  <c r="F6" i="26"/>
  <c r="F7" i="26" s="1"/>
  <c r="C7" i="27" s="1"/>
  <c r="E6" i="26"/>
  <c r="E7" i="26" s="1"/>
  <c r="C6" i="27" s="1"/>
  <c r="G6" i="26"/>
  <c r="G7" i="26" s="1"/>
  <c r="C8" i="27" s="1"/>
  <c r="D6" i="26"/>
  <c r="D7" i="26" s="1"/>
  <c r="C5" i="27" s="1"/>
  <c r="E9" i="25"/>
  <c r="B4" i="26"/>
  <c r="D5" i="27" l="1"/>
  <c r="B5" i="28" s="1"/>
  <c r="D5" i="28" s="1"/>
  <c r="E5" i="28" s="1"/>
  <c r="D5" i="29"/>
  <c r="E5" i="29" s="1"/>
  <c r="F5" i="29" s="1"/>
  <c r="D8" i="27"/>
  <c r="B8" i="28" s="1"/>
  <c r="D8" i="28" s="1"/>
  <c r="E8" i="28" s="1"/>
  <c r="D8" i="29"/>
  <c r="E8" i="29" s="1"/>
  <c r="F8" i="29" s="1"/>
  <c r="E15" i="26"/>
  <c r="E16" i="26" s="1"/>
  <c r="C16" i="27" s="1"/>
  <c r="H4" i="26"/>
  <c r="B6" i="26"/>
  <c r="H6" i="26" s="1"/>
  <c r="C24" i="26"/>
  <c r="C25" i="26" s="1"/>
  <c r="C24" i="27" s="1"/>
  <c r="D7" i="27"/>
  <c r="B7" i="28" s="1"/>
  <c r="D7" i="28" s="1"/>
  <c r="E7" i="28" s="1"/>
  <c r="D7" i="29"/>
  <c r="E7" i="29" s="1"/>
  <c r="F7" i="29" s="1"/>
  <c r="D24" i="26"/>
  <c r="D25" i="26" s="1"/>
  <c r="C25" i="27" s="1"/>
  <c r="D4" i="29"/>
  <c r="E4" i="29" s="1"/>
  <c r="F4" i="29" s="1"/>
  <c r="D4" i="27"/>
  <c r="B4" i="28" s="1"/>
  <c r="D4" i="28" s="1"/>
  <c r="E4" i="28" s="1"/>
  <c r="C15" i="26"/>
  <c r="C16" i="26" s="1"/>
  <c r="C14" i="27" s="1"/>
  <c r="F24" i="26"/>
  <c r="F25" i="26" s="1"/>
  <c r="C27" i="27" s="1"/>
  <c r="E19" i="25"/>
  <c r="B13" i="26"/>
  <c r="G24" i="26"/>
  <c r="G25" i="26" s="1"/>
  <c r="C28" i="27" s="1"/>
  <c r="D15" i="26"/>
  <c r="D16" i="26" s="1"/>
  <c r="C15" i="27" s="1"/>
  <c r="D6" i="29"/>
  <c r="E6" i="29" s="1"/>
  <c r="F6" i="29" s="1"/>
  <c r="D6" i="27"/>
  <c r="B6" i="28" s="1"/>
  <c r="D6" i="28" s="1"/>
  <c r="E6" i="28" s="1"/>
  <c r="G15" i="26"/>
  <c r="G16" i="26" s="1"/>
  <c r="C18" i="27" s="1"/>
  <c r="B22" i="26"/>
  <c r="E29" i="25"/>
  <c r="F15" i="26"/>
  <c r="F16" i="26" s="1"/>
  <c r="C17" i="27" s="1"/>
  <c r="E24" i="26"/>
  <c r="E25" i="26" s="1"/>
  <c r="C26" i="27" s="1"/>
  <c r="H7" i="26" l="1"/>
  <c r="B7" i="26"/>
  <c r="C3" i="27" s="1"/>
  <c r="D3" i="27" s="1"/>
  <c r="B3" i="28" s="1"/>
  <c r="D3" i="28" s="1"/>
  <c r="E3" i="28" s="1"/>
  <c r="D17" i="27"/>
  <c r="B17" i="28" s="1"/>
  <c r="D17" i="28" s="1"/>
  <c r="E17" i="28" s="1"/>
  <c r="D18" i="29"/>
  <c r="E18" i="29" s="1"/>
  <c r="F18" i="29" s="1"/>
  <c r="D16" i="29"/>
  <c r="E16" i="29" s="1"/>
  <c r="F16" i="29" s="1"/>
  <c r="D15" i="27"/>
  <c r="B15" i="28" s="1"/>
  <c r="D15" i="28" s="1"/>
  <c r="E15" i="28" s="1"/>
  <c r="D26" i="29"/>
  <c r="E26" i="29" s="1"/>
  <c r="F26" i="29" s="1"/>
  <c r="D24" i="27"/>
  <c r="B24" i="28" s="1"/>
  <c r="D24" i="28" s="1"/>
  <c r="E24" i="28" s="1"/>
  <c r="D26" i="27"/>
  <c r="B26" i="28" s="1"/>
  <c r="D26" i="28" s="1"/>
  <c r="E26" i="28" s="1"/>
  <c r="D28" i="29"/>
  <c r="E28" i="29" s="1"/>
  <c r="F28" i="29" s="1"/>
  <c r="D19" i="29"/>
  <c r="E19" i="29" s="1"/>
  <c r="F19" i="29" s="1"/>
  <c r="D18" i="27"/>
  <c r="B18" i="28" s="1"/>
  <c r="D18" i="28" s="1"/>
  <c r="E18" i="28" s="1"/>
  <c r="D29" i="29"/>
  <c r="E29" i="29" s="1"/>
  <c r="F29" i="29" s="1"/>
  <c r="D27" i="27"/>
  <c r="B27" i="28" s="1"/>
  <c r="D27" i="28" s="1"/>
  <c r="E27" i="28" s="1"/>
  <c r="D14" i="27"/>
  <c r="B14" i="28" s="1"/>
  <c r="D14" i="28" s="1"/>
  <c r="E14" i="28" s="1"/>
  <c r="D15" i="29"/>
  <c r="E15" i="29" s="1"/>
  <c r="F15" i="29" s="1"/>
  <c r="B15" i="26"/>
  <c r="H15" i="26" s="1"/>
  <c r="H13" i="26"/>
  <c r="D16" i="27"/>
  <c r="B16" i="28" s="1"/>
  <c r="D16" i="28" s="1"/>
  <c r="E16" i="28" s="1"/>
  <c r="D17" i="29"/>
  <c r="E17" i="29" s="1"/>
  <c r="F17" i="29" s="1"/>
  <c r="H22" i="26"/>
  <c r="B24" i="26"/>
  <c r="H24" i="26" s="1"/>
  <c r="D27" i="29"/>
  <c r="E27" i="29" s="1"/>
  <c r="F27" i="29" s="1"/>
  <c r="D25" i="27"/>
  <c r="B25" i="28" s="1"/>
  <c r="D25" i="28" s="1"/>
  <c r="E25" i="28" s="1"/>
  <c r="D28" i="27"/>
  <c r="B28" i="28" s="1"/>
  <c r="D28" i="28" s="1"/>
  <c r="E28" i="28" s="1"/>
  <c r="D30" i="29"/>
  <c r="E30" i="29" s="1"/>
  <c r="F30" i="29" s="1"/>
  <c r="D3" i="29" l="1"/>
  <c r="H25" i="26"/>
  <c r="B25" i="26"/>
  <c r="C23" i="27" s="1"/>
  <c r="B16" i="26"/>
  <c r="C13" i="27" s="1"/>
  <c r="D9" i="29"/>
  <c r="E3" i="29"/>
  <c r="H16" i="26"/>
  <c r="F3" i="29" l="1"/>
  <c r="E9" i="29"/>
  <c r="F9" i="29" s="1"/>
  <c r="D14" i="29"/>
  <c r="D13" i="27"/>
  <c r="B13" i="28" s="1"/>
  <c r="D13" i="28" s="1"/>
  <c r="E13" i="28" s="1"/>
  <c r="D25" i="29"/>
  <c r="D23" i="27"/>
  <c r="B23" i="28" s="1"/>
  <c r="D23" i="28" s="1"/>
  <c r="E23" i="28" s="1"/>
  <c r="E25" i="29" l="1"/>
  <c r="D31" i="29"/>
  <c r="D20" i="29"/>
  <c r="E14" i="29"/>
  <c r="F14" i="29" l="1"/>
  <c r="E20" i="29"/>
  <c r="F20" i="29" s="1"/>
  <c r="F25" i="29"/>
  <c r="E31" i="29"/>
  <c r="F31" i="2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</author>
  </authors>
  <commentList>
    <comment ref="A54" authorId="0" shapeId="0" xr:uid="{6E716FA2-7CFC-4F5E-B4A4-D203ECB18161}">
      <text>
        <r>
          <rPr>
            <b/>
            <sz val="9"/>
            <color indexed="81"/>
            <rFont val="Tahoma"/>
            <family val="2"/>
            <charset val="204"/>
          </rPr>
          <t>Вкажіть назви власної продукції</t>
        </r>
      </text>
    </comment>
  </commentList>
</comments>
</file>

<file path=xl/sharedStrings.xml><?xml version="1.0" encoding="utf-8"?>
<sst xmlns="http://schemas.openxmlformats.org/spreadsheetml/2006/main" count="1768" uniqueCount="419">
  <si>
    <r>
      <t xml:space="preserve">Цю публікацію було створено за підтримки Швейцарії в рамках швейцарсько-української програми «Розвиток торгівлі з вищою доданою вартістю в органічному та молочному секторах України», що впроваджується Дослідним інститутом органічного сільського господарства (FiBL, Швейцарія) у партнерстві із SAFOSO AG (Швейцарія). Відповідальність за зміст цієї публікації несе виключно автор(и). Точка зору автора(ів) не обов'язково відображає точку зору SECO, FiBL, SAFOSO AG, </t>
    </r>
    <r>
      <rPr>
        <sz val="11"/>
        <color rgb="FF0070C0"/>
        <rFont val="Calibri"/>
        <family val="2"/>
        <charset val="204"/>
        <scheme val="minor"/>
      </rPr>
      <t>www.qftp.org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</si>
  <si>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Автор:</t>
  </si>
  <si>
    <t>Павлишинець Василь</t>
  </si>
  <si>
    <t>E-mail:</t>
  </si>
  <si>
    <t>pnets@ukr.net</t>
  </si>
  <si>
    <t>Поля, що дозволено редагувати, позначені</t>
  </si>
  <si>
    <t>Назва</t>
  </si>
  <si>
    <t>Відстань</t>
  </si>
  <si>
    <t>Село 1</t>
  </si>
  <si>
    <t>Внести назви населених пунктів звідки буде поставлятися молоко транспортому кооперативу.</t>
  </si>
  <si>
    <t>Село 2</t>
  </si>
  <si>
    <t>Відстань від молокопереробного пункту до населеного пункту в одну сторону з врахуванням роз'їздів по селу.</t>
  </si>
  <si>
    <t>Село 3</t>
  </si>
  <si>
    <t>Село 4</t>
  </si>
  <si>
    <t>Село 5</t>
  </si>
  <si>
    <t>Село 6</t>
  </si>
  <si>
    <t>Село 7</t>
  </si>
  <si>
    <t>Переїзди до ТМ</t>
  </si>
  <si>
    <t>Відстань до мережі реалізації в одну сторону з врахуванням переїздів.</t>
  </si>
  <si>
    <t>Інші переїзди</t>
  </si>
  <si>
    <t>Інші можливі переїзди на 1 день.</t>
  </si>
  <si>
    <t>Назва автомобіля</t>
  </si>
  <si>
    <t>Пальне</t>
  </si>
  <si>
    <t>Норма витрати пального, л/100 км</t>
  </si>
  <si>
    <t>Молоковоз</t>
  </si>
  <si>
    <t>Бензин</t>
  </si>
  <si>
    <t xml:space="preserve">Внести назви автомоболів, і відповідні види пального з нормами витрат. </t>
  </si>
  <si>
    <t>Рефрижератор</t>
  </si>
  <si>
    <t>Дт</t>
  </si>
  <si>
    <t>Легкове авто</t>
  </si>
  <si>
    <t>Газ</t>
  </si>
  <si>
    <t>Кількість днів роботи</t>
  </si>
  <si>
    <t>Показник</t>
  </si>
  <si>
    <t>Місяці</t>
  </si>
  <si>
    <t>І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</si>
  <si>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</si>
  <si>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</si>
  <si>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</si>
  <si>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</si>
  <si>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</si>
  <si>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</si>
  <si>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</si>
  <si>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</si>
  <si>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</si>
  <si>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</si>
  <si>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</si>
  <si>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Дні</t>
  </si>
  <si>
    <t>Середньодобовий надій на 1 корову, кг</t>
  </si>
  <si>
    <t>202__ рік</t>
  </si>
  <si>
    <t>Вартість пального, грн/л</t>
  </si>
  <si>
    <t>Внести актуальну на день заповненння вартість пального.</t>
  </si>
  <si>
    <t>Дизпаливо</t>
  </si>
  <si>
    <t>Назва продукції</t>
  </si>
  <si>
    <t>Молоко питне</t>
  </si>
  <si>
    <t>Сир кисломолочний</t>
  </si>
  <si>
    <t>Кефір</t>
  </si>
  <si>
    <t>Сметана</t>
  </si>
  <si>
    <t>Сир м'який</t>
  </si>
  <si>
    <t>Сир твердий</t>
  </si>
  <si>
    <t>Масло вершкове</t>
  </si>
  <si>
    <t>Сир Рікотта</t>
  </si>
  <si>
    <t>Сироватка</t>
  </si>
  <si>
    <t>Молоко охолоджене</t>
  </si>
  <si>
    <t>Всього</t>
  </si>
  <si>
    <t>Всього має завжди дорівнювати 100 відсоткам.</t>
  </si>
  <si>
    <t>Норма витрати молока на 1 кг продукції, л</t>
  </si>
  <si>
    <t xml:space="preserve">Закваски </t>
  </si>
  <si>
    <t>Ферменти</t>
  </si>
  <si>
    <t>Покриття для сиру</t>
  </si>
  <si>
    <t>Інші інгредієнти (фарбник, наповнювачі тощо)</t>
  </si>
  <si>
    <t>Упаковка</t>
  </si>
  <si>
    <t>Норма витрат в ум. од. на 100 молока</t>
  </si>
  <si>
    <t>Вартість умовної одиниці, грн</t>
  </si>
  <si>
    <t>Норма витрат на 100 л молока, гр/ мл</t>
  </si>
  <si>
    <t>Вартість 1 гр або мл ферментів, грн.</t>
  </si>
  <si>
    <t>Норма витрат покриття на 1 кг сиру, гр</t>
  </si>
  <si>
    <t>Вартість 1 гр покриття для сиру, грн</t>
  </si>
  <si>
    <t>Норма витрат на 100 л молока, гр.</t>
  </si>
  <si>
    <t>Вартість інгредієнту, грн/гр</t>
  </si>
  <si>
    <t>Кількість упаковок 1 кг продукції, шт</t>
  </si>
  <si>
    <t>Вартість 1 упаковки, грн</t>
  </si>
  <si>
    <t>Ціна реалізації молочної продукції, грн/одиницю</t>
  </si>
  <si>
    <t>Працівники</t>
  </si>
  <si>
    <t>Категорії працівників</t>
  </si>
  <si>
    <t>Середньорічна чисельність, чол.</t>
  </si>
  <si>
    <t>Середньомісячна оплата праці, грн.</t>
  </si>
  <si>
    <t>Виконавчий директор</t>
  </si>
  <si>
    <t>Головний бухгалтер</t>
  </si>
  <si>
    <t>Технолог модульного цеху</t>
  </si>
  <si>
    <t>Оператор модульного цеху переробки молока</t>
  </si>
  <si>
    <t>Водій</t>
  </si>
  <si>
    <t>Збиральник молока</t>
  </si>
  <si>
    <t>Норми витрат холоду, пари, води та електроенергії на 1 т готової продукції</t>
  </si>
  <si>
    <t>Холод, кДж.</t>
  </si>
  <si>
    <t>Електроенергія, кВт*год.</t>
  </si>
  <si>
    <r>
      <t>Вода, м</t>
    </r>
    <r>
      <rPr>
        <sz val="9"/>
        <color theme="1"/>
        <rFont val="Calibri"/>
        <family val="2"/>
        <charset val="204"/>
        <scheme val="minor"/>
      </rPr>
      <t>3</t>
    </r>
  </si>
  <si>
    <t>Пара, т</t>
  </si>
  <si>
    <t>Вартість одиниці холоду, пари, води та електроенергії</t>
  </si>
  <si>
    <t>Холод, тис.кДж.</t>
  </si>
  <si>
    <t>Пар, т</t>
  </si>
  <si>
    <t>За основу взято вартість електроенергії.</t>
  </si>
  <si>
    <t>Вартість інших ресурсів визначено на основі нормативних коефіцієнтів.</t>
  </si>
  <si>
    <t>Вартість закупівлі молока, грн/л</t>
  </si>
  <si>
    <t>Період</t>
  </si>
  <si>
    <t>Витрати на збут, грн.</t>
  </si>
  <si>
    <t>Назва витрат</t>
  </si>
  <si>
    <t>Утримання торгівельних місць</t>
  </si>
  <si>
    <t>Реклама</t>
  </si>
  <si>
    <t>Соціальні мережі, сайт</t>
  </si>
  <si>
    <t>Інші витрати на збут</t>
  </si>
  <si>
    <t>Проведення аналізів якості сировини та продукції</t>
  </si>
  <si>
    <t>Отримання довідок, дозволів тощо</t>
  </si>
  <si>
    <t>Придбання миючих засобів, спецодягу, господарського інвентарю</t>
  </si>
  <si>
    <t>Офісні витрати (канцелярскі товари, зв`язок, тощо)</t>
  </si>
  <si>
    <t>Сплата орендних платежів</t>
  </si>
  <si>
    <t xml:space="preserve">Витрати на банківські послуги </t>
  </si>
  <si>
    <t>Витрати на ремонт та обслуговування обладнання</t>
  </si>
  <si>
    <t>Щорічне збільшення вартості витрат</t>
  </si>
  <si>
    <t>%</t>
  </si>
  <si>
    <t>Непередбачені витрати</t>
  </si>
  <si>
    <t>Обладнання молокопереробного цеху</t>
  </si>
  <si>
    <t>№ п/п</t>
  </si>
  <si>
    <t>Стаття витрат</t>
  </si>
  <si>
    <t>Кількість, шт</t>
  </si>
  <si>
    <t>Вартість одиниці з ПДВ, грн.</t>
  </si>
  <si>
    <t>Загальна вартість з ПДВ, грн.</t>
  </si>
  <si>
    <t>Доцільний термін експлуатації, років</t>
  </si>
  <si>
    <t>Примітка:</t>
  </si>
  <si>
    <t>БЛОК ЛАБОРАТОРНИЙ</t>
  </si>
  <si>
    <t>Необхідно внести дані вручну</t>
  </si>
  <si>
    <t>EKOMILK стандарт –аналізаторякості молока</t>
  </si>
  <si>
    <t>PH-метр</t>
  </si>
  <si>
    <t>Холодильник для інградієнтів</t>
  </si>
  <si>
    <t>ВІДДІЛЕННЯ ПРИЙМАННЯ І ЗБЕРІГАННЯ МОЛОКА</t>
  </si>
  <si>
    <t>Насос відцентровий НЦХ</t>
  </si>
  <si>
    <t>Фільтр грубої очистки молока ФМ-1</t>
  </si>
  <si>
    <t xml:space="preserve">Охолоджувач молока  2100л </t>
  </si>
  <si>
    <t>Тензодатчик М 50</t>
  </si>
  <si>
    <t>ВІДДІЛЕННЯ ПЕРВИННОЇ ПЕРЕРОБКИ МОЛОКА</t>
  </si>
  <si>
    <t>Підігрівач трубчатий ПТ 1000л/год</t>
  </si>
  <si>
    <t>Сепаратор вершковідділювач 1000л/год Ж 5-ОСБ</t>
  </si>
  <si>
    <t>Площадка для сепаратора н/ж</t>
  </si>
  <si>
    <t>ВІДДІЛЕННЯ ФЕРМЕНТАЦІЇ, ГОМОГЕНІЗАЦІЇ</t>
  </si>
  <si>
    <t>Ванна ВДП-600 л</t>
  </si>
  <si>
    <t xml:space="preserve">Ванна ВДП-300 л </t>
  </si>
  <si>
    <t>Гомогенізатор К5-ОГА</t>
  </si>
  <si>
    <t xml:space="preserve">Диспергатор </t>
  </si>
  <si>
    <t>Насос вязких продуктів 1000л/год</t>
  </si>
  <si>
    <t>ВІДДІЛЕННЯ ВИРОБНИЦТВА СИРУ</t>
  </si>
  <si>
    <t xml:space="preserve">Ванна сирна ВСВ-1000л </t>
  </si>
  <si>
    <t xml:space="preserve">Платформа ванни н/ж </t>
  </si>
  <si>
    <t xml:space="preserve">Візок сирний ПСП-2  100кг </t>
  </si>
  <si>
    <t xml:space="preserve">Резервуар сироватки  1000л </t>
  </si>
  <si>
    <t>ВІДДІЛЕННЯ ФАСУВАННЯ</t>
  </si>
  <si>
    <t xml:space="preserve">Вакуум пакувальна машина </t>
  </si>
  <si>
    <t>Автомат фасування в стакан 400гр</t>
  </si>
  <si>
    <t>Дозавтомат фасування (0,5-1,0л) 300 циклів за годину (банка-пляшка)</t>
  </si>
  <si>
    <t>ВІДДІЛЕННЯ МИЙНЕ</t>
  </si>
  <si>
    <t>Мийка централізована 3з1,0-0,3-0,3</t>
  </si>
  <si>
    <t>ДОПОМІЖНЕ ОБЛАДНАННЯ</t>
  </si>
  <si>
    <t>Стіл технологічний н/ж 1200х600х8000</t>
  </si>
  <si>
    <t xml:space="preserve">Мішалка для фляг </t>
  </si>
  <si>
    <t xml:space="preserve">Мийка приладдя 2-х секційна </t>
  </si>
  <si>
    <t>МОЛОЧНА АРМАТУРА</t>
  </si>
  <si>
    <t xml:space="preserve">Труба 40х1,5  н/ж 304  </t>
  </si>
  <si>
    <t xml:space="preserve">Труба 52х1,5  н/ж 304 </t>
  </si>
  <si>
    <t xml:space="preserve">Труба 40х40х1,5 н/ж 304  </t>
  </si>
  <si>
    <t xml:space="preserve">Труба 20х20х1,5 н/ж 304  </t>
  </si>
  <si>
    <t xml:space="preserve">Труба 20х40х1,5 н/ж 304  </t>
  </si>
  <si>
    <t xml:space="preserve">Відвод 40х1,5  н/ж 304 </t>
  </si>
  <si>
    <t xml:space="preserve">Відвод 52х1,5  н/ж 304 </t>
  </si>
  <si>
    <t xml:space="preserve">Трійник 52х1,5  н/ж 304 </t>
  </si>
  <si>
    <t xml:space="preserve">Трійник 40х1,5  н/ж 304 </t>
  </si>
  <si>
    <t>Кран шиберний  Дн- 40 Р-З</t>
  </si>
  <si>
    <t>Кран шиберний  Дн- 50  Р-З</t>
  </si>
  <si>
    <t xml:space="preserve">Зєднання муфтове Дн-40 </t>
  </si>
  <si>
    <t xml:space="preserve">Зєднання муфтове Дн-50 </t>
  </si>
  <si>
    <t>Гайка шліцева Дн-40</t>
  </si>
  <si>
    <t>Гайка шліцева Дн-50</t>
  </si>
  <si>
    <t>Ущільнення Дн-40</t>
  </si>
  <si>
    <t>Ущільнення Дн-50</t>
  </si>
  <si>
    <t>Штуцер конічний Дн-40</t>
  </si>
  <si>
    <t>Штуцер конічний Дн-50</t>
  </si>
  <si>
    <t>Штуце різьбовий Дн-50</t>
  </si>
  <si>
    <t>Штуце різьбовий Дн-40</t>
  </si>
  <si>
    <t>Діоптр Д-50</t>
  </si>
  <si>
    <t>Діоптр Д-40</t>
  </si>
  <si>
    <t>Перехід ексцентричний  40х52</t>
  </si>
  <si>
    <t xml:space="preserve">Хомут 40  н/ж 304 </t>
  </si>
  <si>
    <t xml:space="preserve">Хомут 50  н/ж 304 </t>
  </si>
  <si>
    <t>ЕЛЕКТРИЧНІ ПРИСТОСУВАННЯ</t>
  </si>
  <si>
    <t>Лоток н/ж електрокабеля 100х50</t>
  </si>
  <si>
    <t>Лоток н/ж електрокабеля 50х50</t>
  </si>
  <si>
    <t>ВЕНТИЛЯЦІЙНЕ ОБЛАДНАННЯ</t>
  </si>
  <si>
    <t>Система припливно-витяжної вентиляції цеху</t>
  </si>
  <si>
    <t>НАДАННЯ ПОСЛУГ</t>
  </si>
  <si>
    <t xml:space="preserve">Монтаж обладнання </t>
  </si>
  <si>
    <t xml:space="preserve">Монтаж трубопроводів молочних </t>
  </si>
  <si>
    <t>Монтаж електрики КВПіА</t>
  </si>
  <si>
    <t xml:space="preserve">Пусконалагоджувальні роботи </t>
  </si>
  <si>
    <t>ОБЛАДНАННЯ КОТЕЛЬНІ</t>
  </si>
  <si>
    <t>Котел промисловий</t>
  </si>
  <si>
    <t>Допоміжне обладнання</t>
  </si>
  <si>
    <t>Насосна станція</t>
  </si>
  <si>
    <t>БУДІВЕЛЬНО-РЕМОНТНІ РОБОТИ</t>
  </si>
  <si>
    <t>Будівельні роботи</t>
  </si>
  <si>
    <t>Ремонтні роботи</t>
  </si>
  <si>
    <t>АВТОТРАНСПОРТ</t>
  </si>
  <si>
    <t>План вступу в члени СК з коровами в 202_ році</t>
  </si>
  <si>
    <t>Всього за рік</t>
  </si>
  <si>
    <t>Кількість корів що додались до СК, всього, голів</t>
  </si>
  <si>
    <t>в т.ч. по населених пунктах:</t>
  </si>
  <si>
    <t>Необхідно внести дані</t>
  </si>
  <si>
    <t>Кількість корів, що додаються до СК по селах - внести вручну</t>
  </si>
  <si>
    <t>Загальна кількість корів за період, голів</t>
  </si>
  <si>
    <t>План збору та реалізації молока в 202__ році (по населених пунктах)</t>
  </si>
  <si>
    <t>Розрахунки проводяться автоматично на основі внесених даних з листа "Довідник" та "План вступу в члени"</t>
  </si>
  <si>
    <t>кількість днів роботи, днів</t>
  </si>
  <si>
    <t>средньодобовий надій на 1 корову в день, кг</t>
  </si>
  <si>
    <t>середня кількість корів, голів</t>
  </si>
  <si>
    <t>В день</t>
  </si>
  <si>
    <t>Всього молока в день, т</t>
  </si>
  <si>
    <t>Залишається молока для власних потреб, т (20%)</t>
  </si>
  <si>
    <t>Передається в СК для реалізації, т (80%)</t>
  </si>
  <si>
    <t>В місяць</t>
  </si>
  <si>
    <t>Всього молока в місяць, т</t>
  </si>
  <si>
    <t>Передається в СОК для реалізації, т (80%)</t>
  </si>
  <si>
    <t>План збору та реалізації молока в 202__ році (загальний)</t>
  </si>
  <si>
    <t>Розрахунки проводяться автоматично на основі розрахунків попередніх таблиць</t>
  </si>
  <si>
    <t>Всього молока, т</t>
  </si>
  <si>
    <t>Виробничий план переробки молока в 202__ році</t>
  </si>
  <si>
    <t>Розрахунки проводяться автоматично на основі внесених даних з листа "Довідник" та автоматичних розрахунків попередніх таблиць</t>
  </si>
  <si>
    <t>Надійшло в СК для переробки та реалізації, т</t>
  </si>
  <si>
    <t>молока-сировини, т</t>
  </si>
  <si>
    <t>сироватки-сировини, т</t>
  </si>
  <si>
    <t>Надходження коштів від реалізації молочної продукції в 202__ році</t>
  </si>
  <si>
    <t>ціна, грн/л</t>
  </si>
  <si>
    <t>всього молоко питне, грн.</t>
  </si>
  <si>
    <t>ціна, грн/кг</t>
  </si>
  <si>
    <t>всього сир кисломолочний, грн.</t>
  </si>
  <si>
    <t>всього кефір, грн.</t>
  </si>
  <si>
    <t>всього сметана, грн.</t>
  </si>
  <si>
    <t>всього сир м'який, грн.</t>
  </si>
  <si>
    <t>всього сир Рікотта, грн.</t>
  </si>
  <si>
    <t>Находження коштів всього, грн.</t>
  </si>
  <si>
    <t>Реалізація готової молочної продукції в натуральному та грошовому виразі на період  202__-202__ років</t>
  </si>
  <si>
    <t>По роках</t>
  </si>
  <si>
    <t>Розрахунки проводяться автоматично на основі внесених даних з листа "Надходження коштів"</t>
  </si>
  <si>
    <t>Середньорічна ціна 1 т, тис.грн.</t>
  </si>
  <si>
    <t>Дохід від реалізації молока питного, тис.грн.</t>
  </si>
  <si>
    <t>Середньорічна ціна 1 т, тис. грн.</t>
  </si>
  <si>
    <t>Дохід від реалізації сиру кисломолочного, тис.грн.</t>
  </si>
  <si>
    <t>Дохід від реалізації кефіру, тис.грн.</t>
  </si>
  <si>
    <t>Дохід від реалізації сметани, тис.грн.</t>
  </si>
  <si>
    <t>Дохід від реалізації сиру м'якого, тис.грн.</t>
  </si>
  <si>
    <t>Дохід від реалізації сиру Рікотта, тис.грн.</t>
  </si>
  <si>
    <t>Загальний дохід від ркалізації молочної продукції, тис.грн.</t>
  </si>
  <si>
    <t>Плановий пробіг автомобіля по збору молока в 202__ році (по населених пунктах)</t>
  </si>
  <si>
    <t>Кількість поїздок, од</t>
  </si>
  <si>
    <t>Пробіг автомобіля за 1 поїздку, км</t>
  </si>
  <si>
    <t>Загальний пробіг автомобіля, км</t>
  </si>
  <si>
    <t>Пробіг автомобіля, всього, км</t>
  </si>
  <si>
    <t>Витрати на паливо в 202__ році</t>
  </si>
  <si>
    <t>Пробіг автомобіля на заготівлі молока, км</t>
  </si>
  <si>
    <t>Вартість пального на заготівлі молока, грн.</t>
  </si>
  <si>
    <t>Пробіг автомобіля на реалізації продукції, км</t>
  </si>
  <si>
    <t>Вартість пального на реалізації продукції, грн.</t>
  </si>
  <si>
    <t>Пробіг автомобіля на інших перерїздах, км</t>
  </si>
  <si>
    <t>Вартість пального на інших переїздах, грн.</t>
  </si>
  <si>
    <t>Загальний пробіг, км</t>
  </si>
  <si>
    <t>Загальна вартість пального, грн.</t>
  </si>
  <si>
    <t>Планові витрати на утримання автомобільного транспорту на період 
202__ - 202__ років</t>
  </si>
  <si>
    <t>Рік</t>
  </si>
  <si>
    <t>Загальний пробіг, км.</t>
  </si>
  <si>
    <t>Загальна вартість палива, грн.</t>
  </si>
  <si>
    <t>Кількість ТО (10000 км. міжсервісний інтервал)</t>
  </si>
  <si>
    <t>Вартість 1 ТО, грн.</t>
  </si>
  <si>
    <t>Витрати на запасні частини, грн.</t>
  </si>
  <si>
    <t>Витрати на придбання автогуми, грн.</t>
  </si>
  <si>
    <t>Загальні витрати на автотранспорт, грн.</t>
  </si>
  <si>
    <t>Річний фонд оплати праці з нарахуваннями 202__ рік</t>
  </si>
  <si>
    <t>Кількість місяців роботи</t>
  </si>
  <si>
    <t>Річний фонд оплати праці, грн.</t>
  </si>
  <si>
    <t>Нарахування на ФОП, ЄСВ -22%, грн.</t>
  </si>
  <si>
    <t>Річний ФОП з нарахуваннями, грн.</t>
  </si>
  <si>
    <t>Розрахунки проводяться автоматично на основі внесених даних з листа "Довідник"</t>
  </si>
  <si>
    <t>Кількість місяців роботи - заповнити вручну</t>
  </si>
  <si>
    <t>Річний фонд оплати праці з нарахуваннями на період 
202__-202__ років, тис. грн.</t>
  </si>
  <si>
    <t>Фонд оплати праці з нарахуваннями, всього, тис.грн.</t>
  </si>
  <si>
    <t>в т.ч.</t>
  </si>
  <si>
    <t>Загальна потреба холоду, пари, води та електроенергії на виробництво продукції в 202__ році, натуральні показники</t>
  </si>
  <si>
    <t>Холод, кДж</t>
  </si>
  <si>
    <t>Загальна потреба хододу, кДж</t>
  </si>
  <si>
    <t>Загальна потреба електроенергії, кВт*год</t>
  </si>
  <si>
    <t>Загальна потреба води, м3</t>
  </si>
  <si>
    <t>Загальна потреба пару, т</t>
  </si>
  <si>
    <t>Загальна вартість холоду, пари, води та електроенергії на виробництво продукції в 202__ році, грн.</t>
  </si>
  <si>
    <t>Розрахунки проводяться автоматично на основі внесених даних з листа "Довідник" та "Енергоресурси НП"</t>
  </si>
  <si>
    <t>Холод, грн.</t>
  </si>
  <si>
    <t>Електроенергія, грн.</t>
  </si>
  <si>
    <t>Вода, грн.</t>
  </si>
  <si>
    <t>Пар, грн.</t>
  </si>
  <si>
    <t>Загальна потреба хододу, грн.</t>
  </si>
  <si>
    <t>Загальна потреба електроенергії, грн.</t>
  </si>
  <si>
    <t>Загальна потреба води, грн.</t>
  </si>
  <si>
    <t>Загальна потреба пару, грн.</t>
  </si>
  <si>
    <t>Всього, грн.</t>
  </si>
  <si>
    <t>Загальна вартість допоміжних матеріалів, хімічних речовин, упаковки в 202__ році, грн.</t>
  </si>
  <si>
    <t>Загальна вартість</t>
  </si>
  <si>
    <t>Інші інгредієнти</t>
  </si>
  <si>
    <t>Загальна вартість молока-сировини в 202__ році, грн.</t>
  </si>
  <si>
    <t>Планові витрати на збут в 202__ році, грн.</t>
  </si>
  <si>
    <t>Всього витрат</t>
  </si>
  <si>
    <t>Планові накладні експлуатаційні витрати в 202__ році, грн.</t>
  </si>
  <si>
    <t>Розрахунок величини амортизаційних відрахувань, грн.</t>
  </si>
  <si>
    <t>Вартість одиниці без ПДВ, грн.</t>
  </si>
  <si>
    <t>Загальна вартість без ПДВ, грн.</t>
  </si>
  <si>
    <t>Величина щорічних амортизаційних відрахувань, грн.</t>
  </si>
  <si>
    <t>Розрахунки проводяться автоматично на основі внесених даних з листа "Інвестиції"</t>
  </si>
  <si>
    <t>Итог</t>
  </si>
  <si>
    <t>Розрахунок суми накладних витрат на 202__ рік, грн.</t>
  </si>
  <si>
    <t>Перелік накладних витрат</t>
  </si>
  <si>
    <t>Вартість на рік, грн.</t>
  </si>
  <si>
    <t>Витрати на автотранспорт</t>
  </si>
  <si>
    <t xml:space="preserve">  </t>
  </si>
  <si>
    <t>Витрати на енергетичні ресурси</t>
  </si>
  <si>
    <t>Витрати на збут</t>
  </si>
  <si>
    <t>Експлуатаційні витрати</t>
  </si>
  <si>
    <t>Амортизаційні відрахування</t>
  </si>
  <si>
    <t>Разом</t>
  </si>
  <si>
    <t xml:space="preserve"> </t>
  </si>
  <si>
    <t>Розрахунок розподілу витрат по видам продукції 202__ рік</t>
  </si>
  <si>
    <t>Назва послуги</t>
  </si>
  <si>
    <t>Виручка від реалізації продукції, грн.</t>
  </si>
  <si>
    <t>Сума накладних витрат, грн.</t>
  </si>
  <si>
    <t>Коефіцієнт (сума НВ/ виручка від реалізації)</t>
  </si>
  <si>
    <t>Розподіл накладних витрат, грн.</t>
  </si>
  <si>
    <t>Кошторис витрат по видам продукції на 202__ рік, грн.</t>
  </si>
  <si>
    <t>Витрати за елементами та статтями</t>
  </si>
  <si>
    <t>Прямі матеріальні витрати</t>
  </si>
  <si>
    <t>Накладні витрати</t>
  </si>
  <si>
    <t>Витрати на оплату праці з нарахуваннями</t>
  </si>
  <si>
    <t>ВСЬОГО</t>
  </si>
  <si>
    <t>Розрахунок собівартості одиниці продукції на 202__ рік</t>
  </si>
  <si>
    <t>Обсяг реалізації, кг/л</t>
  </si>
  <si>
    <t>Валові витрати, грн.</t>
  </si>
  <si>
    <t>Собівартість одиниці, грн.</t>
  </si>
  <si>
    <t>Розрахунок планової рентабельності від реалізації продукції на 202__ рік</t>
  </si>
  <si>
    <t>Види продукції</t>
  </si>
  <si>
    <t>Собівартість одиниці продукції, грн.</t>
  </si>
  <si>
    <t>Середня реалізаційна ціна, грн.</t>
  </si>
  <si>
    <t>Економічний результат на одиниці продукції, грн</t>
  </si>
  <si>
    <t>Рівень рентабельності, %</t>
  </si>
  <si>
    <t>Фінансові результати діяльності СК на 202__ рік</t>
  </si>
  <si>
    <t>Обсяг реалізації в натуральному вигляді, кг/л</t>
  </si>
  <si>
    <t>Обсяг реалізації, грн.</t>
  </si>
  <si>
    <t>Собівартість реалізованої продукції, грн.</t>
  </si>
  <si>
    <t>Чистий результат, грн.</t>
  </si>
  <si>
    <t>****</t>
  </si>
  <si>
    <t>Прогноз руху грошових коштів на 202__ рік</t>
  </si>
  <si>
    <t>Назва показника</t>
  </si>
  <si>
    <t>На кінець 202__ року</t>
  </si>
  <si>
    <t>Надходження коштів:</t>
  </si>
  <si>
    <t>кошти донорів</t>
  </si>
  <si>
    <t>запозичені ресурси</t>
  </si>
  <si>
    <t>Всього надходження</t>
  </si>
  <si>
    <t>Початкові витрати:</t>
  </si>
  <si>
    <t>Придбання обладнання та поповнення оборотних коштів</t>
  </si>
  <si>
    <t>Всього початкові витрати</t>
  </si>
  <si>
    <t>Поточні витрати:</t>
  </si>
  <si>
    <t>паливо-мастильні матеріали</t>
  </si>
  <si>
    <t>витрати на утримання автотранспорту</t>
  </si>
  <si>
    <t>оплата праці з нарахуваннями</t>
  </si>
  <si>
    <t>енергоресурси</t>
  </si>
  <si>
    <t>закваски, ферменти, інші матеріали</t>
  </si>
  <si>
    <t>молоко-сировина</t>
  </si>
  <si>
    <t>витрати на збут</t>
  </si>
  <si>
    <t>експлуатаційні витрати</t>
  </si>
  <si>
    <t>Всього поточні витрати</t>
  </si>
  <si>
    <t>Рух коштів за період</t>
  </si>
  <si>
    <t>Наявність на початок періоду</t>
  </si>
  <si>
    <t>Залишок на кінець періоду</t>
  </si>
  <si>
    <t>Назва обладнання</t>
  </si>
  <si>
    <t>Перелік обладнання залежить від:
•	Обсягів переробки молока,
•	Асортименту продукції і способу її виготовлення та пакування,
•	Варіантів теплового обладнання (газ, електроенергія, дрова),
•	Каналів реалізації продукції тощо.
Перелік обладнання підбирається з допомогою спеціалістів, які розуміються на переробці молока. При визначенні вартості обладнання також слід врахувати витрати на його доставку, монтаж, пусконалагоджувальні роботи.
До таблиці заносяться дані про:
•	Назву обладнання,
•	Кількість обладнання,
•	Доцільний термін експлуатації (на основі рекомендацій П(С)БО 7)</t>
  </si>
  <si>
    <t>В таблицю необхідно занести кількість корів, від яких буде здаватися молоко в кооператив. Дані заносять окремо по кожному селу і помісячно.
Джерела інформації:
•	Опитування/анкетування жителів сіл
•	Заяви на вступ до кооперативу</t>
  </si>
  <si>
    <t>При заповненні таблиці беремо до уваги, що на переробку в кооператив члени передають 80% надою від своїх корів.
Таблиця містить інформацію про щоденні і щомісячні загальні обсяги молока для переробки в розрізі населених пунктів.</t>
  </si>
  <si>
    <t>Розрахунки проводяться автоматично на основі розрахунків попередніх таблиць "Збір молока по селах" і "План вступу в члени"</t>
  </si>
  <si>
    <t>Відсоток молока, що переробляється для виготовлення даного виду продукції, %</t>
  </si>
  <si>
    <t>Розрахунки проводяться автоматично на основі внесених даних з листа "Фонд ОП"</t>
  </si>
  <si>
    <t>Узагальнено дані з листа «Збір молока по селах». 
Показано дані про загальний обсяг молока, який надходить на переробку в кооператив в розрізі місяців.</t>
  </si>
  <si>
    <t>Розрахунок кількості помісячно виробленої молочної продукції проводиться автоматично на основі автоматично внесених даних про помісячні обсяги молока, що надходять в кооператив для переробки з листа «Збір молока» і листа «Довідник (Відсоток молока, що переробляється для виготовлення даного виду продукції).
На виготовлення сиру Рікотта молоко не враховується. Передбачено тільки сироватку, яка лишається після виробництва інших продуктів.</t>
  </si>
  <si>
    <t xml:space="preserve">Таблиця містить інформацію про находження коштів від реалізації молочної продукції як окремо по кожному продукту, так і в цілому по кооперативу помісячно і в цілому за рік.
Розрахунки проводяться автоматично на основі даних про обсяги виробництва окремих молочних продуктів з листа «Виробничий план» та планових цін реалізації з листа «Довідник».  </t>
  </si>
  <si>
    <t>Дана таблиця є зведеною таблицею листа «Надходження коштів»
Дає змогу порівняти дані про реалізацію молочної продукції в натуральних і грошових показниках в розрізі років, а також середню ціну реалізації за роки.</t>
  </si>
  <si>
    <t>Таблиця містить дані про помісячний і річний пробіг автомобілів на заготівлі молока в розрізі населених пунктів та реалізації готової молочної продукції і інших можливих переїздах.
Таблиця розраховується автоматично на основі даних листа «Збір молока по селах» та листа «Довідник» (відстані до населених пунктів).</t>
  </si>
  <si>
    <t>Таблиця містить дані про вартість пального на заготівлі молока, реалізації готової молочної продукції і інших можливих переїздах помісячно і за рік.
Таблиця розраховується автоматично на основі даних листа «Відстань» та листа «Довідник» (вартість пального).</t>
  </si>
  <si>
    <t>Таблиця містить дані про загальну річну вартість пального, технічного обслуговування автотранспорту, витрат на запасні частини і автогуму.
Таблиця розраховується автоматично на основі даних листа «ПММ» та листа «Відстань».</t>
  </si>
  <si>
    <t xml:space="preserve">Таблиця містить дані про штатну чисельність працівників, фонд оплати праці з нарахуваннями.
Таблиця розраховується на основі введених даних в листі «Довідник» категорій працівників, їх кількість і середньомісячної оплати праці.
В даній таблиці необхідно тільки ввести дані про кількість місяців роботи кожної категорії працівників. В перший рік роботи не всі категорії працівників можуть бути задіяні протягом цілого року. </t>
  </si>
  <si>
    <t xml:space="preserve">Таблиця містить зведені дані на основі даних таблиці листа «Фонд ОП».
Дає змогу порівняти дані про витрати на оплату праці з нарахуваннями в розрізі років.
</t>
  </si>
  <si>
    <t>Таблиця містить дані про потреби в холоді, пари, води та електроенергії  на виробництво кожного виду продукції як по місяцях, так і в цілому за рік.
Дані розраховуються на основі даних по виробництву кожного виду продукції з листа «Виробничий план» та нормативних показників витрат холоду, пари, води та електроенергії на одиницю продукції з таблиці листа «Довідник». Розрахунки здійснені в натуральних показниках.</t>
  </si>
  <si>
    <t xml:space="preserve">Таблиця містить дані про потреби в холоді, пари, води та електроенергії  на виробництво кожного виду продукції по місяцях, в цілому за рік, загальна місячна потреба на виробництво молочної продукції в грошовому виразі. 
Дані розраховуються на основі даних по виробництву кожного виду продукції з листа «Енергоресурси НП» та показників вартості витрат холоду, пари, води та електроенергії на одиницю продукції з таблиці листа «Довідник». </t>
  </si>
  <si>
    <t xml:space="preserve">Таблиця містить дані про потреби допоміжних матеріалів, хімічних речовин, упаковки на виробництво кожного виду продукції по місяцях, в цілому за рік, загальна місячна потреба на виробництво молочної продукції в грошовому виразі. 
Дані розраховуються на основі даних по виробництву кожного виду продукції з листа «Виробничий план» та показників вартості витрат допоміжних матеріалів, хімічних речовин, упаковки на одиницю продукції з таблиці листа «Довідник». </t>
  </si>
  <si>
    <t xml:space="preserve">Таблиця містить дані про загальні річні потреби кожного виду допоміжних матеріалів, хімічних речовин, упаковки на виробництво кожного виду продукції в цілому за рік  в грошовому виразі. 
Дані розраховуються на основі даних по виробництву кожного виду продукції з листа «Виробничий план» та показників вартості витрат допоміжних матеріалів, хімічних речовин, упаковки на одиницю продукції з таблиці листа «Довідник». </t>
  </si>
  <si>
    <t xml:space="preserve">Таблиця містить дані про загальну вартість молока-сировини на виробництво кожного виду продукції помісячно, в цілому за рік  в грошовому виразі. 
Дані розраховуються на основі даних про вироблену кількість кожного виду продукції з листа «Виробничий план» та помісячної вартості молока-сировини з таблиці листа «Довідник». </t>
  </si>
  <si>
    <t xml:space="preserve">Таблиця містить дані про загальну вартість витрат на збут в розрізі статей витрат помісячно, в цілому за рік  в грошовому виразі. 
Дані розраховуються на основі даних про витрати на збут по видах витрат з таблиці листа «Довідник». </t>
  </si>
  <si>
    <t xml:space="preserve">Таблиця містить дані про загальну вартість накладних витрат в розрізі статей витрат помісячно, в цілому за рік  в грошовому виразі. 
Дані розраховуються на основі даних про накладні витрати по видах витрат з таблиці листа «Довідник». </t>
  </si>
  <si>
    <t xml:space="preserve">Таблиця містить дані про величину щорічних амортизаційних відрахувань. 
Дані розраховуються на основі даних про вартість обладнання без ПДВ та доцільного терміну експлуатації обладнання з листа «Інвестиції». </t>
  </si>
  <si>
    <t xml:space="preserve">Таблиця містить дані про загальну суму накладних витрат та в розрізі статей в цілому за рік. 
Дані розраховуються на основі загальної річної суми витрат на автотранспорт з листа «Транспорт», витрат на енергетичні ресурси з листа «Енергоресурси», витрат на збут з листа «Витрати на збут», експлуатаційних витрат з листа «Експл витрати», амортизаційних відрахувань з листа. </t>
  </si>
  <si>
    <t xml:space="preserve">Таблиця містить дані про розподіл накладних витрат на кожний вид молочної продукції. У випадку, коли накладні витрати неможливо прямо віднести на певний продукції, необхідно провести розподіл за допомогою коефіцієнтів. В даній ситуації накладні витрати розподіляються пропорційно до виручки від реалізації продукції.
Дані розраховуються на основі даних про виручку від реалізації продукції з листа «Реалізація» та загальної суми накладних витрат з листа «Накладні витрати». </t>
  </si>
  <si>
    <t xml:space="preserve">Таблиця містить дані про кошторис витрат по елементам і статтям та загальної суми витрат в розрізі видів молочної продукції.
Дані розраховуються на основі даних про вартість матеріалів з листа «Матеріали», молока-сировини з листа «Молоко-сировина», розділених накладних витрат з листа «Розподіл НВ», витрат на оплату праці з нарахуваннями з листа «ОП» з врахуванням коефіцієнту розподілу накладних витрат та суми непередбачуваних витрат в розмірі 1% (даний показник зазначається в листі «Довідник») від загальної суми попередніх витрат. </t>
  </si>
  <si>
    <t xml:space="preserve">Таблиця містить дані про собівартість одиниці продукції в розрізі видів молочної продукції.
Дані розраховуються по кожному виду продукції шляхом ділення валових витрат з листа «Кошторис» на обсяг реалізованої продукції з листа «Реалізація». </t>
  </si>
  <si>
    <t xml:space="preserve">Таблиця містить дані про рівень рентабельності та економічний результат одиниці продукції в розрізі видів молочної продукції.
Дані розраховуються по кожному виду продукції на основі внесених даних про собівартість одиниці продукції з листа «Собівартість» та середньої ціни реалізації з листа «Реалізація».
Економічний результат дорівнює різниці між середньою реалізаційною ціною та собівартістю одиниці продукції  .
Рівень рентабельності визначається у відсотках діленням показника економічного результату на собівартість одиниці продукції. </t>
  </si>
  <si>
    <t xml:space="preserve">Таблиця містить дані про фінансові результати діяльності кооперативу в цілому.
Дані є сумою окремо розрахованих даних по кожному виду продукції.
Чистий результат дорівнює різниці між обсягом реалізації продукції в грошовому виразі та загальною собівартістю реалізованої продукції.
Рівень рентабельності визначається у відсотках шляхом діленням показника чистого результату на загальну собівартість реалізованої продукції. </t>
  </si>
  <si>
    <t>Таблиця містить дані про рух коштів.
В таблицю автоматично переносяться дані про доходи кооперативу в розрізі кожного виду продукції, інші можливі надходження коштів (гранти, кредити тощо), а також всі витрати в розрізі статей витрат (окрім амортизаційних відрахувань).
Дані про рух грошових коштів відображають наявність коштів на кінець періоду (місяць, рік). Якщо значення мінусове – необхідно залучати кошти для виконання планових завдань діяльності.</t>
  </si>
  <si>
    <t>Внести дані про планову кількість днів роботи по місяцях</t>
  </si>
  <si>
    <t>Внести дані про середньодобовий надій з врахуванням сезонності тощо</t>
  </si>
  <si>
    <t>Внести планову ціну реалізації</t>
  </si>
  <si>
    <t>Внести дані про чисельність працюючих і середньомісчну оплату праці по кожній категорії працівників</t>
  </si>
  <si>
    <t>Планова ціна закупівлі молока у членів кооперативу</t>
  </si>
  <si>
    <t>Вексти планові витрати збут по статтях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</si>
</sst>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#,##0.0"/>
    <numFmt numFmtId="166" formatCode="0.000"/>
    <numFmt numFmtId="167" formatCode="#,##0;\-#,##0;;"/>
    <numFmt numFmtId="168" formatCode="General;;"/>
    <numFmt numFmtId="169" formatCode="#,###;\-#,###;;"/>
  </numFmts>
  <fonts count="2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 Cyr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b/>
      <sz val="10"/>
      <color indexed="8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i/>
      <sz val="10"/>
      <color rgb="FFFF0000"/>
      <name val="Arial"/>
      <family val="2"/>
      <charset val="204"/>
    </font>
    <font>
      <b/>
      <i/>
      <sz val="11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55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0" fontId="5" fillId="0" borderId="0" xfId="0" applyFont="1"/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wrapText="1"/>
    </xf>
    <xf numFmtId="2" fontId="5" fillId="0" borderId="1" xfId="0" applyNumberFormat="1" applyFont="1" applyBorder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2" fontId="5" fillId="0" borderId="0" xfId="0" applyNumberFormat="1" applyFont="1" applyAlignment="1">
      <alignment horizontal="center" wrapText="1"/>
    </xf>
    <xf numFmtId="0" fontId="10" fillId="2" borderId="20" xfId="0" applyFont="1" applyFill="1" applyBorder="1" applyAlignment="1">
      <alignment vertical="top" wrapText="1"/>
    </xf>
    <xf numFmtId="1" fontId="5" fillId="2" borderId="20" xfId="0" applyNumberFormat="1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top" wrapText="1"/>
    </xf>
    <xf numFmtId="0" fontId="5" fillId="2" borderId="20" xfId="0" applyFont="1" applyFill="1" applyBorder="1" applyAlignment="1">
      <alignment horizontal="center" vertical="top" wrapText="1"/>
    </xf>
    <xf numFmtId="0" fontId="12" fillId="2" borderId="20" xfId="0" applyFont="1" applyFill="1" applyBorder="1" applyAlignment="1">
      <alignment horizontal="center" vertical="top" wrapText="1"/>
    </xf>
    <xf numFmtId="1" fontId="12" fillId="2" borderId="20" xfId="0" applyNumberFormat="1" applyFont="1" applyFill="1" applyBorder="1" applyAlignment="1">
      <alignment horizontal="center" vertical="top" wrapText="1"/>
    </xf>
    <xf numFmtId="1" fontId="4" fillId="2" borderId="18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2" fillId="2" borderId="36" xfId="0" applyFont="1" applyFill="1" applyBorder="1" applyAlignment="1">
      <alignment horizontal="center" vertical="top" wrapText="1"/>
    </xf>
    <xf numFmtId="1" fontId="4" fillId="2" borderId="24" xfId="0" applyNumberFormat="1" applyFont="1" applyFill="1" applyBorder="1" applyAlignment="1">
      <alignment horizontal="center" vertical="center" wrapText="1"/>
    </xf>
    <xf numFmtId="1" fontId="12" fillId="2" borderId="34" xfId="0" applyNumberFormat="1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vertical="top" wrapText="1"/>
    </xf>
    <xf numFmtId="0" fontId="10" fillId="2" borderId="36" xfId="0" applyFont="1" applyFill="1" applyBorder="1" applyAlignment="1">
      <alignment vertical="top" wrapText="1"/>
    </xf>
    <xf numFmtId="1" fontId="5" fillId="2" borderId="36" xfId="0" applyNumberFormat="1" applyFont="1" applyFill="1" applyBorder="1" applyAlignment="1">
      <alignment horizontal="center" vertical="center" wrapText="1"/>
    </xf>
    <xf numFmtId="1" fontId="4" fillId="2" borderId="34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6" xfId="0" applyBorder="1"/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wrapText="1"/>
    </xf>
    <xf numFmtId="0" fontId="0" fillId="0" borderId="0" xfId="0" applyAlignment="1">
      <alignment vertical="center" wrapText="1"/>
    </xf>
    <xf numFmtId="2" fontId="5" fillId="0" borderId="19" xfId="0" applyNumberFormat="1" applyFont="1" applyBorder="1" applyAlignment="1">
      <alignment horizontal="center" wrapText="1"/>
    </xf>
    <xf numFmtId="2" fontId="5" fillId="0" borderId="39" xfId="0" applyNumberFormat="1" applyFont="1" applyBorder="1" applyAlignment="1">
      <alignment horizontal="center" wrapText="1"/>
    </xf>
    <xf numFmtId="0" fontId="5" fillId="3" borderId="3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0" fillId="0" borderId="19" xfId="0" applyBorder="1"/>
    <xf numFmtId="0" fontId="3" fillId="3" borderId="43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3" borderId="12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3" fillId="3" borderId="5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3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6" xfId="0" applyBorder="1"/>
    <xf numFmtId="3" fontId="0" fillId="0" borderId="1" xfId="0" applyNumberFormat="1" applyBorder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0" fillId="2" borderId="18" xfId="0" applyFont="1" applyFill="1" applyBorder="1" applyAlignment="1">
      <alignment horizontal="center" vertical="top" wrapText="1"/>
    </xf>
    <xf numFmtId="0" fontId="12" fillId="2" borderId="17" xfId="0" applyFont="1" applyFill="1" applyBorder="1" applyAlignment="1">
      <alignment horizontal="center" vertical="top" wrapText="1"/>
    </xf>
    <xf numFmtId="3" fontId="5" fillId="2" borderId="20" xfId="0" applyNumberFormat="1" applyFont="1" applyFill="1" applyBorder="1" applyAlignment="1">
      <alignment horizontal="center" vertical="center" wrapText="1"/>
    </xf>
    <xf numFmtId="3" fontId="4" fillId="2" borderId="42" xfId="0" applyNumberFormat="1" applyFont="1" applyFill="1" applyBorder="1" applyAlignment="1">
      <alignment horizontal="center" vertical="center" wrapText="1"/>
    </xf>
    <xf numFmtId="3" fontId="5" fillId="2" borderId="20" xfId="0" applyNumberFormat="1" applyFont="1" applyFill="1" applyBorder="1" applyAlignment="1">
      <alignment horizontal="center" vertical="top" wrapText="1"/>
    </xf>
    <xf numFmtId="3" fontId="4" fillId="2" borderId="34" xfId="0" applyNumberFormat="1" applyFont="1" applyFill="1" applyBorder="1" applyAlignment="1">
      <alignment horizontal="center" vertical="center" wrapText="1"/>
    </xf>
    <xf numFmtId="3" fontId="4" fillId="2" borderId="43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wrapText="1"/>
    </xf>
    <xf numFmtId="3" fontId="4" fillId="2" borderId="24" xfId="0" applyNumberFormat="1" applyFont="1" applyFill="1" applyBorder="1" applyAlignment="1">
      <alignment horizontal="center" vertical="center" wrapText="1"/>
    </xf>
    <xf numFmtId="3" fontId="10" fillId="2" borderId="20" xfId="0" applyNumberFormat="1" applyFont="1" applyFill="1" applyBorder="1" applyAlignment="1">
      <alignment horizontal="center" vertical="top" wrapText="1"/>
    </xf>
    <xf numFmtId="3" fontId="5" fillId="2" borderId="20" xfId="0" applyNumberFormat="1" applyFont="1" applyFill="1" applyBorder="1" applyAlignment="1">
      <alignment wrapText="1"/>
    </xf>
    <xf numFmtId="3" fontId="12" fillId="2" borderId="17" xfId="0" applyNumberFormat="1" applyFont="1" applyFill="1" applyBorder="1" applyAlignment="1">
      <alignment horizontal="center" vertical="top" wrapText="1"/>
    </xf>
    <xf numFmtId="3" fontId="4" fillId="2" borderId="52" xfId="0" applyNumberFormat="1" applyFont="1" applyFill="1" applyBorder="1" applyAlignment="1">
      <alignment horizontal="center" vertical="center" wrapText="1"/>
    </xf>
    <xf numFmtId="3" fontId="12" fillId="2" borderId="36" xfId="0" applyNumberFormat="1" applyFont="1" applyFill="1" applyBorder="1" applyAlignment="1">
      <alignment horizontal="center" vertical="top" wrapText="1"/>
    </xf>
    <xf numFmtId="3" fontId="4" fillId="2" borderId="4" xfId="0" applyNumberFormat="1" applyFont="1" applyFill="1" applyBorder="1" applyAlignment="1">
      <alignment horizontal="center" vertical="center" wrapText="1"/>
    </xf>
    <xf numFmtId="3" fontId="10" fillId="2" borderId="18" xfId="0" applyNumberFormat="1" applyFont="1" applyFill="1" applyBorder="1" applyAlignment="1">
      <alignment horizontal="center" vertical="top" wrapText="1"/>
    </xf>
    <xf numFmtId="3" fontId="4" fillId="2" borderId="6" xfId="0" applyNumberFormat="1" applyFont="1" applyFill="1" applyBorder="1" applyAlignment="1">
      <alignment horizontal="center" vertical="center" wrapText="1"/>
    </xf>
    <xf numFmtId="3" fontId="12" fillId="2" borderId="34" xfId="0" applyNumberFormat="1" applyFont="1" applyFill="1" applyBorder="1" applyAlignment="1">
      <alignment horizontal="center" vertical="top" wrapText="1"/>
    </xf>
    <xf numFmtId="3" fontId="4" fillId="2" borderId="18" xfId="0" applyNumberFormat="1" applyFont="1" applyFill="1" applyBorder="1" applyAlignment="1">
      <alignment horizontal="center" vertical="center" wrapText="1"/>
    </xf>
    <xf numFmtId="3" fontId="4" fillId="2" borderId="20" xfId="0" applyNumberFormat="1" applyFont="1" applyFill="1" applyBorder="1" applyAlignment="1">
      <alignment horizontal="center" vertical="center" wrapText="1"/>
    </xf>
    <xf numFmtId="3" fontId="12" fillId="2" borderId="20" xfId="0" applyNumberFormat="1" applyFont="1" applyFill="1" applyBorder="1" applyAlignment="1">
      <alignment horizontal="center" vertical="top" wrapText="1"/>
    </xf>
    <xf numFmtId="0" fontId="19" fillId="0" borderId="0" xfId="0" applyFont="1"/>
    <xf numFmtId="0" fontId="0" fillId="4" borderId="1" xfId="0" applyFill="1" applyBorder="1"/>
    <xf numFmtId="0" fontId="0" fillId="4" borderId="22" xfId="0" applyFill="1" applyBorder="1"/>
    <xf numFmtId="0" fontId="0" fillId="4" borderId="39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9" xfId="0" applyFill="1" applyBorder="1"/>
    <xf numFmtId="0" fontId="0" fillId="4" borderId="19" xfId="0" applyFill="1" applyBorder="1"/>
    <xf numFmtId="0" fontId="0" fillId="4" borderId="8" xfId="0" applyFill="1" applyBorder="1"/>
    <xf numFmtId="0" fontId="0" fillId="4" borderId="3" xfId="0" applyFill="1" applyBorder="1"/>
    <xf numFmtId="0" fontId="0" fillId="4" borderId="4" xfId="0" applyFill="1" applyBorder="1"/>
    <xf numFmtId="0" fontId="15" fillId="4" borderId="19" xfId="0" applyFont="1" applyFill="1" applyBorder="1" applyAlignment="1" applyProtection="1">
      <alignment horizontal="center"/>
      <protection locked="0"/>
    </xf>
    <xf numFmtId="2" fontId="0" fillId="4" borderId="1" xfId="0" applyNumberFormat="1" applyFill="1" applyBorder="1"/>
    <xf numFmtId="2" fontId="0" fillId="4" borderId="19" xfId="0" applyNumberFormat="1" applyFill="1" applyBorder="1"/>
    <xf numFmtId="0" fontId="15" fillId="4" borderId="1" xfId="0" applyFont="1" applyFill="1" applyBorder="1" applyAlignment="1" applyProtection="1">
      <alignment horizontal="center"/>
      <protection locked="0"/>
    </xf>
    <xf numFmtId="0" fontId="15" fillId="4" borderId="16" xfId="0" applyFont="1" applyFill="1" applyBorder="1" applyAlignment="1" applyProtection="1">
      <alignment horizontal="center"/>
      <protection locked="0"/>
    </xf>
    <xf numFmtId="0" fontId="0" fillId="4" borderId="19" xfId="0" applyFill="1" applyBorder="1" applyAlignment="1">
      <alignment horizontal="center"/>
    </xf>
    <xf numFmtId="0" fontId="17" fillId="4" borderId="19" xfId="0" applyFont="1" applyFill="1" applyBorder="1" applyAlignment="1">
      <alignment horizontal="left" vertical="top"/>
    </xf>
    <xf numFmtId="0" fontId="18" fillId="4" borderId="19" xfId="0" applyFont="1" applyFill="1" applyBorder="1" applyAlignment="1">
      <alignment horizontal="justify" vertical="center" wrapText="1"/>
    </xf>
    <xf numFmtId="0" fontId="0" fillId="4" borderId="1" xfId="0" applyFill="1" applyBorder="1" applyAlignment="1">
      <alignment horizontal="center"/>
    </xf>
    <xf numFmtId="0" fontId="18" fillId="4" borderId="1" xfId="0" applyFont="1" applyFill="1" applyBorder="1" applyAlignment="1">
      <alignment horizontal="left" vertical="top"/>
    </xf>
    <xf numFmtId="0" fontId="18" fillId="4" borderId="1" xfId="0" applyFont="1" applyFill="1" applyBorder="1" applyAlignment="1">
      <alignment horizontal="center" vertical="center" wrapText="1"/>
    </xf>
    <xf numFmtId="3" fontId="0" fillId="4" borderId="1" xfId="0" applyNumberFormat="1" applyFill="1" applyBorder="1"/>
    <xf numFmtId="0" fontId="17" fillId="4" borderId="1" xfId="0" applyFont="1" applyFill="1" applyBorder="1" applyAlignment="1">
      <alignment horizontal="left" vertical="top"/>
    </xf>
    <xf numFmtId="164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0" fillId="4" borderId="19" xfId="0" applyNumberFormat="1" applyFill="1" applyBorder="1"/>
    <xf numFmtId="164" fontId="0" fillId="4" borderId="1" xfId="0" applyNumberFormat="1" applyFill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6" xfId="0" applyFill="1" applyBorder="1"/>
    <xf numFmtId="3" fontId="0" fillId="4" borderId="16" xfId="0" applyNumberFormat="1" applyFill="1" applyBorder="1"/>
    <xf numFmtId="3" fontId="0" fillId="0" borderId="16" xfId="0" applyNumberFormat="1" applyBorder="1"/>
    <xf numFmtId="0" fontId="6" fillId="3" borderId="33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 wrapText="1"/>
    </xf>
    <xf numFmtId="0" fontId="1" fillId="0" borderId="1" xfId="0" applyFont="1" applyBorder="1"/>
    <xf numFmtId="0" fontId="5" fillId="2" borderId="2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left" wrapText="1"/>
    </xf>
    <xf numFmtId="0" fontId="5" fillId="2" borderId="48" xfId="0" applyFont="1" applyFill="1" applyBorder="1" applyAlignment="1">
      <alignment horizontal="left" wrapText="1"/>
    </xf>
    <xf numFmtId="0" fontId="4" fillId="2" borderId="12" xfId="0" applyFont="1" applyFill="1" applyBorder="1" applyAlignment="1">
      <alignment wrapText="1"/>
    </xf>
    <xf numFmtId="2" fontId="5" fillId="0" borderId="3" xfId="0" applyNumberFormat="1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wrapText="1"/>
    </xf>
    <xf numFmtId="2" fontId="5" fillId="0" borderId="11" xfId="0" applyNumberFormat="1" applyFont="1" applyBorder="1" applyAlignment="1">
      <alignment horizontal="center" wrapText="1"/>
    </xf>
    <xf numFmtId="2" fontId="5" fillId="0" borderId="35" xfId="0" applyNumberFormat="1" applyFont="1" applyBorder="1" applyAlignment="1">
      <alignment horizontal="center" wrapText="1"/>
    </xf>
    <xf numFmtId="0" fontId="3" fillId="2" borderId="0" xfId="0" applyFont="1" applyFill="1" applyAlignment="1">
      <alignment horizontal="left" vertical="center" wrapText="1"/>
    </xf>
    <xf numFmtId="0" fontId="5" fillId="0" borderId="0" xfId="0" applyFont="1" applyProtection="1">
      <protection hidden="1"/>
    </xf>
    <xf numFmtId="0" fontId="10" fillId="3" borderId="12" xfId="0" applyFont="1" applyFill="1" applyBorder="1" applyAlignment="1" applyProtection="1">
      <alignment horizontal="center" vertical="center" wrapText="1"/>
      <protection hidden="1"/>
    </xf>
    <xf numFmtId="0" fontId="10" fillId="3" borderId="13" xfId="0" applyFont="1" applyFill="1" applyBorder="1" applyAlignment="1" applyProtection="1">
      <alignment horizontal="center" vertical="center" wrapText="1"/>
      <protection hidden="1"/>
    </xf>
    <xf numFmtId="0" fontId="10" fillId="3" borderId="50" xfId="0" applyFont="1" applyFill="1" applyBorder="1" applyAlignment="1" applyProtection="1">
      <alignment horizontal="center" vertical="center" wrapText="1"/>
      <protection hidden="1"/>
    </xf>
    <xf numFmtId="0" fontId="10" fillId="3" borderId="14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3" fillId="2" borderId="22" xfId="0" applyFont="1" applyFill="1" applyBorder="1" applyAlignment="1" applyProtection="1">
      <alignment horizontal="left" vertical="center" wrapText="1"/>
      <protection hidden="1"/>
    </xf>
    <xf numFmtId="3" fontId="5" fillId="0" borderId="19" xfId="0" applyNumberFormat="1" applyFont="1" applyBorder="1" applyAlignment="1" applyProtection="1">
      <alignment horizontal="center" vertical="center" wrapText="1"/>
      <protection hidden="1"/>
    </xf>
    <xf numFmtId="3" fontId="5" fillId="0" borderId="19" xfId="0" applyNumberFormat="1" applyFont="1" applyBorder="1" applyAlignment="1" applyProtection="1">
      <alignment horizontal="center" wrapText="1"/>
      <protection hidden="1"/>
    </xf>
    <xf numFmtId="10" fontId="5" fillId="0" borderId="39" xfId="0" applyNumberFormat="1" applyFont="1" applyBorder="1" applyAlignment="1" applyProtection="1">
      <alignment horizontal="center" wrapText="1"/>
      <protection hidden="1"/>
    </xf>
    <xf numFmtId="3" fontId="5" fillId="0" borderId="1" xfId="0" applyNumberFormat="1" applyFont="1" applyBorder="1" applyAlignment="1" applyProtection="1">
      <alignment horizontal="center" wrapText="1"/>
      <protection hidden="1"/>
    </xf>
    <xf numFmtId="0" fontId="3" fillId="2" borderId="5" xfId="0" applyFont="1" applyFill="1" applyBorder="1" applyAlignment="1" applyProtection="1">
      <alignment horizontal="left" vertical="center" wrapText="1"/>
      <protection hidden="1"/>
    </xf>
    <xf numFmtId="0" fontId="4" fillId="0" borderId="12" xfId="0" applyFont="1" applyBorder="1" applyAlignment="1" applyProtection="1">
      <alignment horizontal="center" vertical="top" wrapText="1"/>
      <protection hidden="1"/>
    </xf>
    <xf numFmtId="3" fontId="4" fillId="0" borderId="13" xfId="0" applyNumberFormat="1" applyFont="1" applyBorder="1" applyAlignment="1" applyProtection="1">
      <alignment horizontal="center" wrapText="1"/>
      <protection hidden="1"/>
    </xf>
    <xf numFmtId="3" fontId="4" fillId="0" borderId="13" xfId="0" applyNumberFormat="1" applyFont="1" applyBorder="1" applyAlignment="1" applyProtection="1">
      <alignment horizontal="center"/>
      <protection hidden="1"/>
    </xf>
    <xf numFmtId="10" fontId="4" fillId="0" borderId="14" xfId="0" applyNumberFormat="1" applyFont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top" wrapText="1"/>
      <protection hidden="1"/>
    </xf>
    <xf numFmtId="3" fontId="4" fillId="0" borderId="0" xfId="0" applyNumberFormat="1" applyFont="1" applyAlignment="1" applyProtection="1">
      <alignment horizontal="center" wrapText="1"/>
      <protection hidden="1"/>
    </xf>
    <xf numFmtId="3" fontId="4" fillId="0" borderId="0" xfId="0" applyNumberFormat="1" applyFont="1" applyAlignment="1" applyProtection="1">
      <alignment horizontal="center"/>
      <protection hidden="1"/>
    </xf>
    <xf numFmtId="10" fontId="4" fillId="0" borderId="0" xfId="0" applyNumberFormat="1" applyFont="1" applyAlignment="1" applyProtection="1">
      <alignment horizontal="center" vertical="center" wrapText="1"/>
      <protection hidden="1"/>
    </xf>
    <xf numFmtId="2" fontId="5" fillId="0" borderId="3" xfId="0" applyNumberFormat="1" applyFont="1" applyBorder="1" applyAlignment="1" applyProtection="1">
      <alignment horizontal="center" wrapText="1"/>
      <protection hidden="1"/>
    </xf>
    <xf numFmtId="0" fontId="5" fillId="3" borderId="12" xfId="0" applyFont="1" applyFill="1" applyBorder="1" applyAlignment="1" applyProtection="1">
      <alignment horizontal="center" vertical="center" wrapText="1"/>
      <protection hidden="1"/>
    </xf>
    <xf numFmtId="0" fontId="5" fillId="3" borderId="13" xfId="0" applyFont="1" applyFill="1" applyBorder="1" applyAlignment="1" applyProtection="1">
      <alignment horizontal="center" vertical="center" wrapText="1"/>
      <protection hidden="1"/>
    </xf>
    <xf numFmtId="0" fontId="5" fillId="3" borderId="14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3" fillId="2" borderId="2" xfId="0" applyFont="1" applyFill="1" applyBorder="1" applyAlignment="1" applyProtection="1">
      <alignment horizontal="left" vertical="center" wrapText="1"/>
      <protection hidden="1"/>
    </xf>
    <xf numFmtId="3" fontId="5" fillId="0" borderId="3" xfId="0" applyNumberFormat="1" applyFont="1" applyBorder="1" applyAlignment="1" applyProtection="1">
      <alignment horizontal="right" vertical="center" wrapText="1"/>
      <protection hidden="1"/>
    </xf>
    <xf numFmtId="3" fontId="5" fillId="0" borderId="3" xfId="0" applyNumberFormat="1" applyFont="1" applyBorder="1" applyAlignment="1" applyProtection="1">
      <alignment horizontal="right" wrapText="1"/>
      <protection hidden="1"/>
    </xf>
    <xf numFmtId="4" fontId="5" fillId="0" borderId="4" xfId="0" applyNumberFormat="1" applyFont="1" applyBorder="1" applyAlignment="1" applyProtection="1">
      <alignment horizontal="right" wrapText="1"/>
      <protection hidden="1"/>
    </xf>
    <xf numFmtId="3" fontId="5" fillId="0" borderId="19" xfId="0" applyNumberFormat="1" applyFont="1" applyBorder="1" applyAlignment="1" applyProtection="1">
      <alignment horizontal="right" vertical="center" wrapText="1"/>
      <protection hidden="1"/>
    </xf>
    <xf numFmtId="3" fontId="5" fillId="0" borderId="19" xfId="0" applyNumberFormat="1" applyFont="1" applyBorder="1" applyAlignment="1" applyProtection="1">
      <alignment horizontal="right" wrapText="1"/>
      <protection hidden="1"/>
    </xf>
    <xf numFmtId="4" fontId="5" fillId="0" borderId="39" xfId="0" applyNumberFormat="1" applyFont="1" applyBorder="1" applyAlignment="1" applyProtection="1">
      <alignment horizontal="right" wrapText="1"/>
      <protection hidden="1"/>
    </xf>
    <xf numFmtId="0" fontId="3" fillId="2" borderId="7" xfId="0" applyFont="1" applyFill="1" applyBorder="1" applyAlignment="1" applyProtection="1">
      <alignment horizontal="left" vertical="center" wrapText="1"/>
      <protection hidden="1"/>
    </xf>
    <xf numFmtId="3" fontId="5" fillId="0" borderId="11" xfId="0" applyNumberFormat="1" applyFont="1" applyBorder="1" applyAlignment="1" applyProtection="1">
      <alignment horizontal="right" vertical="center" wrapText="1"/>
      <protection hidden="1"/>
    </xf>
    <xf numFmtId="3" fontId="5" fillId="0" borderId="11" xfId="0" applyNumberFormat="1" applyFont="1" applyBorder="1" applyAlignment="1" applyProtection="1">
      <alignment horizontal="right" wrapText="1"/>
      <protection hidden="1"/>
    </xf>
    <xf numFmtId="4" fontId="5" fillId="0" borderId="35" xfId="0" applyNumberFormat="1" applyFont="1" applyBorder="1" applyAlignment="1" applyProtection="1">
      <alignment horizontal="right" wrapText="1"/>
      <protection hidden="1"/>
    </xf>
    <xf numFmtId="0" fontId="3" fillId="2" borderId="0" xfId="0" applyFont="1" applyFill="1" applyAlignment="1" applyProtection="1">
      <alignment horizontal="left" vertical="center" wrapText="1"/>
      <protection hidden="1"/>
    </xf>
    <xf numFmtId="3" fontId="5" fillId="0" borderId="0" xfId="0" applyNumberFormat="1" applyFont="1" applyAlignment="1" applyProtection="1">
      <alignment horizontal="right" vertical="center" wrapText="1"/>
      <protection hidden="1"/>
    </xf>
    <xf numFmtId="3" fontId="5" fillId="0" borderId="0" xfId="0" applyNumberFormat="1" applyFont="1" applyAlignment="1" applyProtection="1">
      <alignment horizontal="right" wrapText="1"/>
      <protection hidden="1"/>
    </xf>
    <xf numFmtId="4" fontId="5" fillId="0" borderId="0" xfId="0" applyNumberFormat="1" applyFont="1" applyAlignment="1" applyProtection="1">
      <alignment horizontal="right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164" fontId="5" fillId="0" borderId="0" xfId="0" applyNumberFormat="1" applyFont="1" applyAlignment="1" applyProtection="1">
      <alignment horizontal="center" vertical="center" wrapText="1"/>
      <protection hidden="1"/>
    </xf>
    <xf numFmtId="164" fontId="5" fillId="0" borderId="0" xfId="0" applyNumberFormat="1" applyFont="1" applyAlignment="1" applyProtection="1">
      <alignment horizontal="center" wrapText="1"/>
      <protection hidden="1"/>
    </xf>
    <xf numFmtId="2" fontId="5" fillId="0" borderId="0" xfId="0" applyNumberFormat="1" applyFont="1" applyAlignment="1" applyProtection="1">
      <alignment horizontal="center" wrapText="1"/>
      <protection hidden="1"/>
    </xf>
    <xf numFmtId="2" fontId="5" fillId="0" borderId="4" xfId="0" applyNumberFormat="1" applyFont="1" applyBorder="1" applyAlignment="1" applyProtection="1">
      <alignment horizontal="right" wrapText="1"/>
      <protection hidden="1"/>
    </xf>
    <xf numFmtId="2" fontId="5" fillId="0" borderId="39" xfId="0" applyNumberFormat="1" applyFont="1" applyBorder="1" applyAlignment="1" applyProtection="1">
      <alignment horizontal="right" wrapText="1"/>
      <protection hidden="1"/>
    </xf>
    <xf numFmtId="2" fontId="5" fillId="0" borderId="35" xfId="0" applyNumberFormat="1" applyFont="1" applyBorder="1" applyAlignment="1" applyProtection="1">
      <alignment horizontal="right" wrapText="1"/>
      <protection hidden="1"/>
    </xf>
    <xf numFmtId="2" fontId="5" fillId="0" borderId="0" xfId="0" applyNumberFormat="1" applyFont="1" applyAlignment="1" applyProtection="1">
      <alignment horizontal="right" wrapText="1"/>
      <protection hidden="1"/>
    </xf>
    <xf numFmtId="0" fontId="5" fillId="3" borderId="46" xfId="0" applyFont="1" applyFill="1" applyBorder="1" applyAlignment="1" applyProtection="1">
      <alignment horizontal="center" vertical="center" wrapText="1"/>
      <protection hidden="1"/>
    </xf>
    <xf numFmtId="0" fontId="4" fillId="3" borderId="14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0" borderId="22" xfId="0" applyFont="1" applyBorder="1" applyAlignment="1" applyProtection="1">
      <alignment wrapText="1"/>
      <protection hidden="1"/>
    </xf>
    <xf numFmtId="3" fontId="4" fillId="0" borderId="39" xfId="0" applyNumberFormat="1" applyFont="1" applyBorder="1" applyAlignment="1" applyProtection="1">
      <alignment horizontal="center" wrapText="1"/>
      <protection hidden="1"/>
    </xf>
    <xf numFmtId="0" fontId="5" fillId="0" borderId="5" xfId="0" applyFont="1" applyBorder="1" applyAlignment="1" applyProtection="1">
      <alignment wrapText="1"/>
      <protection hidden="1"/>
    </xf>
    <xf numFmtId="0" fontId="5" fillId="0" borderId="48" xfId="0" applyFont="1" applyBorder="1" applyAlignment="1" applyProtection="1">
      <alignment wrapText="1"/>
      <protection hidden="1"/>
    </xf>
    <xf numFmtId="3" fontId="5" fillId="0" borderId="16" xfId="0" applyNumberFormat="1" applyFont="1" applyBorder="1" applyAlignment="1" applyProtection="1">
      <alignment horizontal="center" wrapText="1"/>
      <protection hidden="1"/>
    </xf>
    <xf numFmtId="0" fontId="4" fillId="0" borderId="12" xfId="0" applyFont="1" applyBorder="1" applyAlignment="1" applyProtection="1">
      <alignment wrapText="1"/>
      <protection hidden="1"/>
    </xf>
    <xf numFmtId="3" fontId="4" fillId="0" borderId="14" xfId="0" applyNumberFormat="1" applyFont="1" applyBorder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0" fontId="5" fillId="0" borderId="0" xfId="0" applyFont="1" applyAlignment="1" applyProtection="1">
      <alignment vertical="top" wrapText="1"/>
      <protection hidden="1"/>
    </xf>
    <xf numFmtId="165" fontId="5" fillId="0" borderId="0" xfId="0" applyNumberFormat="1" applyFont="1" applyAlignment="1" applyProtection="1">
      <alignment horizontal="center"/>
      <protection hidden="1"/>
    </xf>
    <xf numFmtId="3" fontId="5" fillId="0" borderId="3" xfId="0" applyNumberFormat="1" applyFont="1" applyBorder="1" applyAlignment="1" applyProtection="1">
      <alignment horizontal="center" vertical="top" wrapText="1"/>
      <protection hidden="1"/>
    </xf>
    <xf numFmtId="165" fontId="5" fillId="0" borderId="3" xfId="0" applyNumberFormat="1" applyFont="1" applyBorder="1" applyAlignment="1" applyProtection="1">
      <alignment horizontal="center" wrapText="1"/>
      <protection hidden="1"/>
    </xf>
    <xf numFmtId="166" fontId="5" fillId="0" borderId="3" xfId="0" applyNumberFormat="1" applyFont="1" applyBorder="1" applyAlignment="1" applyProtection="1">
      <alignment horizontal="center" wrapText="1"/>
      <protection hidden="1"/>
    </xf>
    <xf numFmtId="3" fontId="5" fillId="0" borderId="4" xfId="0" applyNumberFormat="1" applyFont="1" applyBorder="1" applyAlignment="1" applyProtection="1">
      <alignment horizontal="center" wrapText="1"/>
      <protection hidden="1"/>
    </xf>
    <xf numFmtId="3" fontId="5" fillId="0" borderId="1" xfId="0" applyNumberFormat="1" applyFont="1" applyBorder="1" applyAlignment="1" applyProtection="1">
      <alignment horizontal="center" vertical="top" wrapText="1"/>
      <protection hidden="1"/>
    </xf>
    <xf numFmtId="165" fontId="5" fillId="0" borderId="1" xfId="0" applyNumberFormat="1" applyFont="1" applyBorder="1" applyAlignment="1" applyProtection="1">
      <alignment horizontal="center" wrapText="1"/>
      <protection hidden="1"/>
    </xf>
    <xf numFmtId="166" fontId="5" fillId="0" borderId="1" xfId="0" applyNumberFormat="1" applyFont="1" applyBorder="1" applyAlignment="1" applyProtection="1">
      <alignment horizontal="center" wrapText="1"/>
      <protection hidden="1"/>
    </xf>
    <xf numFmtId="3" fontId="5" fillId="0" borderId="6" xfId="0" applyNumberFormat="1" applyFont="1" applyBorder="1" applyAlignment="1" applyProtection="1">
      <alignment horizontal="center" wrapText="1"/>
      <protection hidden="1"/>
    </xf>
    <xf numFmtId="3" fontId="5" fillId="0" borderId="8" xfId="0" applyNumberFormat="1" applyFont="1" applyBorder="1" applyAlignment="1" applyProtection="1">
      <alignment horizontal="center" vertical="top" wrapText="1"/>
      <protection hidden="1"/>
    </xf>
    <xf numFmtId="165" fontId="5" fillId="0" borderId="8" xfId="0" applyNumberFormat="1" applyFont="1" applyBorder="1" applyAlignment="1" applyProtection="1">
      <alignment horizontal="center" wrapText="1"/>
      <protection hidden="1"/>
    </xf>
    <xf numFmtId="166" fontId="5" fillId="0" borderId="8" xfId="0" applyNumberFormat="1" applyFont="1" applyBorder="1" applyAlignment="1" applyProtection="1">
      <alignment horizontal="center" wrapText="1"/>
      <protection hidden="1"/>
    </xf>
    <xf numFmtId="3" fontId="5" fillId="0" borderId="9" xfId="0" applyNumberFormat="1" applyFont="1" applyBorder="1" applyAlignment="1" applyProtection="1">
      <alignment horizontal="center" wrapText="1"/>
      <protection hidden="1"/>
    </xf>
    <xf numFmtId="0" fontId="4" fillId="0" borderId="33" xfId="0" applyFont="1" applyBorder="1" applyAlignment="1" applyProtection="1">
      <alignment horizontal="center" wrapText="1"/>
      <protection hidden="1"/>
    </xf>
    <xf numFmtId="3" fontId="4" fillId="0" borderId="11" xfId="0" applyNumberFormat="1" applyFont="1" applyBorder="1" applyAlignment="1" applyProtection="1">
      <alignment horizontal="center" wrapText="1"/>
      <protection hidden="1"/>
    </xf>
    <xf numFmtId="166" fontId="4" fillId="0" borderId="11" xfId="0" applyNumberFormat="1" applyFont="1" applyBorder="1" applyAlignment="1" applyProtection="1">
      <alignment horizontal="center" wrapText="1"/>
      <protection hidden="1"/>
    </xf>
    <xf numFmtId="3" fontId="4" fillId="0" borderId="35" xfId="0" applyNumberFormat="1" applyFont="1" applyBorder="1" applyAlignment="1" applyProtection="1">
      <alignment horizontal="center" wrapText="1"/>
      <protection hidden="1"/>
    </xf>
    <xf numFmtId="0" fontId="4" fillId="0" borderId="0" xfId="0" applyFont="1" applyAlignment="1" applyProtection="1">
      <alignment horizontal="center" wrapText="1"/>
      <protection hidden="1"/>
    </xf>
    <xf numFmtId="165" fontId="4" fillId="0" borderId="0" xfId="0" applyNumberFormat="1" applyFont="1" applyAlignment="1" applyProtection="1">
      <alignment horizontal="center" wrapText="1"/>
      <protection hidden="1"/>
    </xf>
    <xf numFmtId="166" fontId="4" fillId="0" borderId="0" xfId="0" applyNumberFormat="1" applyFont="1" applyAlignment="1" applyProtection="1">
      <alignment horizontal="center" wrapText="1"/>
      <protection hidden="1"/>
    </xf>
    <xf numFmtId="3" fontId="5" fillId="2" borderId="4" xfId="0" applyNumberFormat="1" applyFont="1" applyFill="1" applyBorder="1" applyAlignment="1" applyProtection="1">
      <alignment horizontal="center" wrapText="1"/>
      <protection hidden="1"/>
    </xf>
    <xf numFmtId="3" fontId="5" fillId="2" borderId="6" xfId="0" applyNumberFormat="1" applyFont="1" applyFill="1" applyBorder="1" applyAlignment="1" applyProtection="1">
      <alignment horizontal="center" wrapText="1"/>
      <protection hidden="1"/>
    </xf>
    <xf numFmtId="3" fontId="5" fillId="2" borderId="49" xfId="0" applyNumberFormat="1" applyFont="1" applyFill="1" applyBorder="1" applyAlignment="1" applyProtection="1">
      <alignment horizontal="center" wrapText="1"/>
      <protection hidden="1"/>
    </xf>
    <xf numFmtId="3" fontId="4" fillId="2" borderId="14" xfId="0" applyNumberFormat="1" applyFont="1" applyFill="1" applyBorder="1" applyAlignment="1" applyProtection="1">
      <alignment horizontal="center" wrapText="1"/>
      <protection hidden="1"/>
    </xf>
    <xf numFmtId="164" fontId="4" fillId="2" borderId="0" xfId="0" applyNumberFormat="1" applyFont="1" applyFill="1" applyAlignment="1" applyProtection="1">
      <alignment horizontal="center" wrapText="1"/>
      <protection hidden="1"/>
    </xf>
    <xf numFmtId="0" fontId="0" fillId="2" borderId="0" xfId="0" applyFill="1" applyAlignment="1" applyProtection="1">
      <alignment wrapText="1"/>
      <protection hidden="1"/>
    </xf>
    <xf numFmtId="0" fontId="0" fillId="0" borderId="0" xfId="0" applyProtection="1">
      <protection hidden="1"/>
    </xf>
    <xf numFmtId="0" fontId="6" fillId="3" borderId="33" xfId="0" applyFont="1" applyFill="1" applyBorder="1" applyAlignment="1" applyProtection="1">
      <alignment horizontal="center" vertical="center" wrapText="1"/>
      <protection hidden="1"/>
    </xf>
    <xf numFmtId="0" fontId="6" fillId="3" borderId="11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3" fontId="6" fillId="3" borderId="11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35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1" fillId="0" borderId="19" xfId="0" applyFont="1" applyBorder="1" applyAlignment="1" applyProtection="1">
      <alignment horizontal="left"/>
      <protection hidden="1"/>
    </xf>
    <xf numFmtId="0" fontId="1" fillId="0" borderId="19" xfId="0" applyFont="1" applyBorder="1" applyAlignment="1" applyProtection="1">
      <alignment horizontal="center"/>
      <protection hidden="1"/>
    </xf>
    <xf numFmtId="3" fontId="1" fillId="0" borderId="19" xfId="0" applyNumberFormat="1" applyFont="1" applyBorder="1" applyProtection="1">
      <protection hidden="1"/>
    </xf>
    <xf numFmtId="3" fontId="0" fillId="0" borderId="19" xfId="0" applyNumberFormat="1" applyBorder="1" applyProtection="1">
      <protection hidden="1"/>
    </xf>
    <xf numFmtId="0" fontId="1" fillId="0" borderId="0" xfId="0" applyFont="1" applyProtection="1">
      <protection hidden="1"/>
    </xf>
    <xf numFmtId="0" fontId="0" fillId="0" borderId="1" xfId="0" applyBorder="1" applyAlignment="1" applyProtection="1">
      <alignment horizontal="left"/>
      <protection hidden="1"/>
    </xf>
    <xf numFmtId="0" fontId="0" fillId="0" borderId="19" xfId="0" applyBorder="1" applyAlignment="1" applyProtection="1">
      <alignment horizontal="center"/>
      <protection hidden="1"/>
    </xf>
    <xf numFmtId="3" fontId="0" fillId="0" borderId="1" xfId="0" applyNumberFormat="1" applyBorder="1" applyProtection="1">
      <protection hidden="1"/>
    </xf>
    <xf numFmtId="0" fontId="1" fillId="0" borderId="1" xfId="0" applyFont="1" applyBorder="1" applyAlignment="1" applyProtection="1">
      <alignment horizontal="left"/>
      <protection hidden="1"/>
    </xf>
    <xf numFmtId="0" fontId="0" fillId="0" borderId="16" xfId="0" applyBorder="1" applyAlignment="1" applyProtection="1">
      <alignment horizontal="left"/>
      <protection hidden="1"/>
    </xf>
    <xf numFmtId="0" fontId="0" fillId="0" borderId="26" xfId="0" applyBorder="1" applyAlignment="1" applyProtection="1">
      <alignment horizontal="left"/>
      <protection hidden="1"/>
    </xf>
    <xf numFmtId="0" fontId="0" fillId="0" borderId="26" xfId="0" applyBorder="1" applyAlignment="1" applyProtection="1">
      <alignment horizontal="center"/>
      <protection hidden="1"/>
    </xf>
    <xf numFmtId="0" fontId="0" fillId="0" borderId="26" xfId="0" applyBorder="1" applyProtection="1">
      <protection hidden="1"/>
    </xf>
    <xf numFmtId="0" fontId="0" fillId="0" borderId="53" xfId="0" applyBorder="1" applyProtection="1">
      <protection hidden="1"/>
    </xf>
    <xf numFmtId="3" fontId="0" fillId="0" borderId="26" xfId="0" applyNumberFormat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3" fontId="0" fillId="0" borderId="0" xfId="0" applyNumberFormat="1" applyProtection="1">
      <protection hidden="1"/>
    </xf>
    <xf numFmtId="0" fontId="3" fillId="3" borderId="8" xfId="0" applyFont="1" applyFill="1" applyBorder="1" applyAlignment="1" applyProtection="1">
      <alignment horizontal="center" vertical="center" wrapText="1"/>
      <protection hidden="1"/>
    </xf>
    <xf numFmtId="3" fontId="0" fillId="0" borderId="19" xfId="0" applyNumberFormat="1" applyBorder="1" applyAlignment="1" applyProtection="1">
      <alignment horizontal="center" wrapText="1"/>
      <protection hidden="1"/>
    </xf>
    <xf numFmtId="0" fontId="0" fillId="0" borderId="0" xfId="0" applyAlignment="1" applyProtection="1">
      <alignment wrapText="1"/>
      <protection hidden="1"/>
    </xf>
    <xf numFmtId="0" fontId="1" fillId="0" borderId="0" xfId="0" applyFont="1" applyAlignment="1" applyProtection="1">
      <alignment wrapText="1"/>
      <protection hidden="1"/>
    </xf>
    <xf numFmtId="3" fontId="15" fillId="0" borderId="19" xfId="0" applyNumberFormat="1" applyFont="1" applyBorder="1" applyAlignment="1" applyProtection="1">
      <alignment horizontal="center"/>
      <protection locked="0" hidden="1"/>
    </xf>
    <xf numFmtId="0" fontId="0" fillId="0" borderId="2" xfId="0" applyBorder="1" applyAlignment="1" applyProtection="1">
      <alignment wrapText="1"/>
      <protection hidden="1"/>
    </xf>
    <xf numFmtId="3" fontId="15" fillId="0" borderId="3" xfId="0" applyNumberFormat="1" applyFont="1" applyBorder="1" applyAlignment="1" applyProtection="1">
      <alignment horizontal="center"/>
      <protection locked="0" hidden="1"/>
    </xf>
    <xf numFmtId="3" fontId="1" fillId="0" borderId="4" xfId="0" applyNumberFormat="1" applyFont="1" applyBorder="1" applyAlignment="1" applyProtection="1">
      <alignment horizontal="center" wrapText="1"/>
      <protection hidden="1"/>
    </xf>
    <xf numFmtId="0" fontId="0" fillId="0" borderId="22" xfId="0" applyBorder="1" applyAlignment="1" applyProtection="1">
      <alignment wrapText="1"/>
      <protection hidden="1"/>
    </xf>
    <xf numFmtId="3" fontId="1" fillId="0" borderId="6" xfId="0" applyNumberFormat="1" applyFont="1" applyBorder="1" applyAlignment="1" applyProtection="1">
      <alignment horizontal="center" wrapText="1"/>
      <protection hidden="1"/>
    </xf>
    <xf numFmtId="0" fontId="0" fillId="0" borderId="44" xfId="0" applyBorder="1" applyAlignment="1" applyProtection="1">
      <alignment wrapText="1"/>
      <protection hidden="1"/>
    </xf>
    <xf numFmtId="3" fontId="15" fillId="0" borderId="26" xfId="0" applyNumberFormat="1" applyFont="1" applyBorder="1" applyAlignment="1" applyProtection="1">
      <alignment horizontal="center"/>
      <protection locked="0" hidden="1"/>
    </xf>
    <xf numFmtId="3" fontId="1" fillId="0" borderId="49" xfId="0" applyNumberFormat="1" applyFont="1" applyBorder="1" applyAlignment="1" applyProtection="1">
      <alignment horizontal="center" wrapText="1"/>
      <protection hidden="1"/>
    </xf>
    <xf numFmtId="0" fontId="1" fillId="0" borderId="12" xfId="0" applyFont="1" applyBorder="1" applyAlignment="1" applyProtection="1">
      <alignment wrapText="1"/>
      <protection hidden="1"/>
    </xf>
    <xf numFmtId="3" fontId="1" fillId="0" borderId="13" xfId="0" applyNumberFormat="1" applyFont="1" applyBorder="1" applyAlignment="1" applyProtection="1">
      <alignment horizontal="center" wrapText="1"/>
      <protection hidden="1"/>
    </xf>
    <xf numFmtId="3" fontId="1" fillId="0" borderId="14" xfId="0" applyNumberFormat="1" applyFont="1" applyBorder="1" applyAlignment="1" applyProtection="1">
      <alignment horizontal="center" wrapText="1"/>
      <protection hidden="1"/>
    </xf>
    <xf numFmtId="0" fontId="6" fillId="0" borderId="0" xfId="0" applyFont="1" applyAlignment="1" applyProtection="1">
      <alignment wrapText="1"/>
      <protection hidden="1"/>
    </xf>
    <xf numFmtId="0" fontId="3" fillId="3" borderId="34" xfId="0" applyFont="1" applyFill="1" applyBorder="1" applyAlignment="1" applyProtection="1">
      <alignment horizontal="center" vertical="center" wrapText="1"/>
      <protection hidden="1"/>
    </xf>
    <xf numFmtId="3" fontId="3" fillId="2" borderId="19" xfId="0" applyNumberFormat="1" applyFont="1" applyFill="1" applyBorder="1" applyAlignment="1" applyProtection="1">
      <alignment horizontal="center" vertical="center" wrapText="1"/>
      <protection hidden="1"/>
    </xf>
    <xf numFmtId="3" fontId="3" fillId="2" borderId="39" xfId="0" applyNumberFormat="1" applyFont="1" applyFill="1" applyBorder="1" applyAlignment="1" applyProtection="1">
      <alignment horizontal="center" vertical="center" wrapText="1"/>
      <protection hidden="1"/>
    </xf>
    <xf numFmtId="3" fontId="3" fillId="2" borderId="6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48" xfId="0" applyFont="1" applyFill="1" applyBorder="1" applyAlignment="1" applyProtection="1">
      <alignment horizontal="left" vertical="center" wrapText="1"/>
      <protection hidden="1"/>
    </xf>
    <xf numFmtId="3" fontId="3" fillId="2" borderId="26" xfId="0" applyNumberFormat="1" applyFont="1" applyFill="1" applyBorder="1" applyAlignment="1" applyProtection="1">
      <alignment horizontal="center" vertical="center" wrapText="1"/>
      <protection hidden="1"/>
    </xf>
    <xf numFmtId="3" fontId="3" fillId="2" borderId="49" xfId="0" applyNumberFormat="1" applyFont="1" applyFill="1" applyBorder="1" applyAlignment="1" applyProtection="1">
      <alignment horizontal="center" vertical="center" wrapText="1"/>
      <protection hidden="1"/>
    </xf>
    <xf numFmtId="0" fontId="8" fillId="2" borderId="12" xfId="0" applyFont="1" applyFill="1" applyBorder="1" applyAlignment="1" applyProtection="1">
      <alignment vertical="top" wrapText="1"/>
      <protection hidden="1"/>
    </xf>
    <xf numFmtId="3" fontId="8" fillId="2" borderId="13" xfId="0" applyNumberFormat="1" applyFont="1" applyFill="1" applyBorder="1" applyAlignment="1" applyProtection="1">
      <alignment horizontal="center" vertical="center" wrapText="1"/>
      <protection hidden="1"/>
    </xf>
    <xf numFmtId="3" fontId="8" fillId="2" borderId="14" xfId="0" applyNumberFormat="1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vertical="top" wrapText="1"/>
      <protection hidden="1"/>
    </xf>
    <xf numFmtId="3" fontId="8" fillId="2" borderId="0" xfId="0" applyNumberFormat="1" applyFont="1" applyFill="1" applyAlignment="1" applyProtection="1">
      <alignment horizontal="center" vertical="center" wrapText="1"/>
      <protection hidden="1"/>
    </xf>
    <xf numFmtId="0" fontId="0" fillId="3" borderId="13" xfId="0" applyFill="1" applyBorder="1" applyAlignment="1" applyProtection="1">
      <alignment horizontal="center" vertical="center" wrapText="1"/>
      <protection hidden="1"/>
    </xf>
    <xf numFmtId="0" fontId="7" fillId="3" borderId="14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169" fontId="0" fillId="0" borderId="3" xfId="0" applyNumberFormat="1" applyBorder="1" applyProtection="1">
      <protection hidden="1"/>
    </xf>
    <xf numFmtId="3" fontId="7" fillId="0" borderId="4" xfId="0" applyNumberFormat="1" applyFont="1" applyBorder="1" applyAlignment="1" applyProtection="1">
      <alignment wrapText="1"/>
      <protection hidden="1"/>
    </xf>
    <xf numFmtId="169" fontId="0" fillId="0" borderId="1" xfId="0" applyNumberFormat="1" applyBorder="1" applyProtection="1">
      <protection hidden="1"/>
    </xf>
    <xf numFmtId="3" fontId="7" fillId="0" borderId="6" xfId="0" applyNumberFormat="1" applyFont="1" applyBorder="1" applyAlignment="1" applyProtection="1">
      <alignment wrapText="1"/>
      <protection hidden="1"/>
    </xf>
    <xf numFmtId="169" fontId="0" fillId="0" borderId="16" xfId="0" applyNumberFormat="1" applyBorder="1" applyProtection="1">
      <protection hidden="1"/>
    </xf>
    <xf numFmtId="3" fontId="7" fillId="0" borderId="49" xfId="0" applyNumberFormat="1" applyFont="1" applyBorder="1" applyAlignment="1" applyProtection="1">
      <alignment wrapText="1"/>
      <protection hidden="1"/>
    </xf>
    <xf numFmtId="0" fontId="4" fillId="2" borderId="12" xfId="0" applyFont="1" applyFill="1" applyBorder="1" applyAlignment="1" applyProtection="1">
      <alignment vertical="top" wrapText="1"/>
      <protection hidden="1"/>
    </xf>
    <xf numFmtId="3" fontId="1" fillId="0" borderId="13" xfId="0" applyNumberFormat="1" applyFont="1" applyBorder="1" applyProtection="1">
      <protection hidden="1"/>
    </xf>
    <xf numFmtId="3" fontId="7" fillId="0" borderId="14" xfId="0" applyNumberFormat="1" applyFont="1" applyBorder="1" applyAlignment="1" applyProtection="1">
      <alignment wrapText="1"/>
      <protection hidden="1"/>
    </xf>
    <xf numFmtId="0" fontId="7" fillId="0" borderId="0" xfId="0" applyFont="1" applyAlignment="1" applyProtection="1">
      <alignment wrapText="1"/>
      <protection hidden="1"/>
    </xf>
    <xf numFmtId="0" fontId="5" fillId="0" borderId="0" xfId="0" applyFont="1" applyAlignment="1" applyProtection="1">
      <alignment wrapText="1"/>
      <protection hidden="1"/>
    </xf>
    <xf numFmtId="3" fontId="3" fillId="2" borderId="1" xfId="0" applyNumberFormat="1" applyFont="1" applyFill="1" applyBorder="1" applyAlignment="1" applyProtection="1">
      <alignment horizontal="center" vertical="center" wrapText="1"/>
      <protection hidden="1"/>
    </xf>
    <xf numFmtId="3" fontId="3" fillId="2" borderId="16" xfId="0" applyNumberFormat="1" applyFont="1" applyFill="1" applyBorder="1" applyAlignment="1" applyProtection="1">
      <alignment horizontal="center" vertical="center" wrapText="1"/>
      <protection hidden="1"/>
    </xf>
    <xf numFmtId="0" fontId="3" fillId="3" borderId="16" xfId="0" applyFont="1" applyFill="1" applyBorder="1" applyAlignment="1" applyProtection="1">
      <alignment horizontal="center" vertical="center" wrapText="1"/>
      <protection hidden="1"/>
    </xf>
    <xf numFmtId="0" fontId="3" fillId="3" borderId="17" xfId="0" applyFont="1" applyFill="1" applyBorder="1" applyAlignment="1" applyProtection="1">
      <alignment horizontal="center" vertical="center" wrapText="1"/>
      <protection hidden="1"/>
    </xf>
    <xf numFmtId="0" fontId="8" fillId="2" borderId="2" xfId="0" applyFont="1" applyFill="1" applyBorder="1" applyAlignment="1" applyProtection="1">
      <alignment horizontal="left" vertical="center" wrapText="1"/>
      <protection hidden="1"/>
    </xf>
    <xf numFmtId="2" fontId="8" fillId="2" borderId="3" xfId="0" applyNumberFormat="1" applyFont="1" applyFill="1" applyBorder="1" applyAlignment="1" applyProtection="1">
      <alignment horizontal="center" vertical="center" wrapText="1"/>
      <protection hidden="1"/>
    </xf>
    <xf numFmtId="2" fontId="8" fillId="2" borderId="4" xfId="0" applyNumberFormat="1" applyFont="1" applyFill="1" applyBorder="1" applyAlignment="1" applyProtection="1">
      <alignment horizontal="center" vertical="center" wrapText="1"/>
      <protection hidden="1"/>
    </xf>
    <xf numFmtId="0" fontId="8" fillId="2" borderId="28" xfId="0" applyFont="1" applyFill="1" applyBorder="1" applyAlignment="1" applyProtection="1">
      <alignment vertical="top" wrapText="1"/>
      <protection hidden="1"/>
    </xf>
    <xf numFmtId="3" fontId="8" fillId="2" borderId="10" xfId="0" applyNumberFormat="1" applyFont="1" applyFill="1" applyBorder="1" applyAlignment="1" applyProtection="1">
      <alignment horizontal="center" vertical="center" wrapText="1"/>
      <protection hidden="1"/>
    </xf>
    <xf numFmtId="3" fontId="8" fillId="2" borderId="32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12" xfId="0" applyFont="1" applyBorder="1" applyAlignment="1" applyProtection="1">
      <alignment wrapText="1"/>
      <protection hidden="1"/>
    </xf>
    <xf numFmtId="3" fontId="7" fillId="0" borderId="13" xfId="0" applyNumberFormat="1" applyFont="1" applyBorder="1" applyAlignment="1" applyProtection="1">
      <alignment horizontal="center" wrapText="1"/>
      <protection hidden="1"/>
    </xf>
    <xf numFmtId="164" fontId="3" fillId="2" borderId="19" xfId="0" applyNumberFormat="1" applyFont="1" applyFill="1" applyBorder="1" applyAlignment="1" applyProtection="1">
      <alignment horizontal="center" vertical="center" wrapText="1"/>
      <protection hidden="1"/>
    </xf>
    <xf numFmtId="164" fontId="3" fillId="2" borderId="39" xfId="0" applyNumberFormat="1" applyFont="1" applyFill="1" applyBorder="1" applyAlignment="1" applyProtection="1">
      <alignment horizontal="center" vertical="center" wrapText="1"/>
      <protection hidden="1"/>
    </xf>
    <xf numFmtId="1" fontId="3" fillId="2" borderId="39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33" xfId="0" applyFont="1" applyFill="1" applyBorder="1" applyAlignment="1" applyProtection="1">
      <alignment horizontal="left" vertical="center" wrapText="1"/>
      <protection hidden="1"/>
    </xf>
    <xf numFmtId="164" fontId="3" fillId="2" borderId="11" xfId="0" applyNumberFormat="1" applyFont="1" applyFill="1" applyBorder="1" applyAlignment="1" applyProtection="1">
      <alignment horizontal="center" vertical="center" wrapText="1"/>
      <protection hidden="1"/>
    </xf>
    <xf numFmtId="1" fontId="3" fillId="2" borderId="35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vertical="top" wrapText="1"/>
      <protection hidden="1"/>
    </xf>
    <xf numFmtId="3" fontId="4" fillId="2" borderId="3" xfId="0" applyNumberFormat="1" applyFont="1" applyFill="1" applyBorder="1" applyAlignment="1" applyProtection="1">
      <alignment horizontal="center" vertical="top" wrapText="1"/>
      <protection hidden="1"/>
    </xf>
    <xf numFmtId="3" fontId="4" fillId="2" borderId="4" xfId="0" applyNumberFormat="1" applyFont="1" applyFill="1" applyBorder="1" applyAlignment="1" applyProtection="1">
      <alignment horizontal="center" vertical="top" wrapText="1"/>
      <protection hidden="1"/>
    </xf>
    <xf numFmtId="0" fontId="5" fillId="2" borderId="5" xfId="0" applyFont="1" applyFill="1" applyBorder="1" applyAlignment="1" applyProtection="1">
      <alignment vertical="top" wrapText="1"/>
      <protection hidden="1"/>
    </xf>
    <xf numFmtId="4" fontId="5" fillId="2" borderId="1" xfId="0" applyNumberFormat="1" applyFont="1" applyFill="1" applyBorder="1" applyAlignment="1" applyProtection="1">
      <alignment horizontal="center" vertical="top" wrapText="1"/>
      <protection hidden="1"/>
    </xf>
    <xf numFmtId="4" fontId="5" fillId="2" borderId="6" xfId="0" applyNumberFormat="1" applyFont="1" applyFill="1" applyBorder="1" applyAlignment="1" applyProtection="1">
      <alignment horizontal="center" vertical="top" wrapText="1"/>
      <protection hidden="1"/>
    </xf>
    <xf numFmtId="3" fontId="5" fillId="2" borderId="1" xfId="0" applyNumberFormat="1" applyFont="1" applyFill="1" applyBorder="1" applyAlignment="1" applyProtection="1">
      <alignment horizontal="center" vertical="top" wrapText="1"/>
      <protection hidden="1"/>
    </xf>
    <xf numFmtId="3" fontId="5" fillId="2" borderId="6" xfId="0" applyNumberFormat="1" applyFont="1" applyFill="1" applyBorder="1" applyAlignment="1" applyProtection="1">
      <alignment horizontal="center" vertical="top" wrapText="1"/>
      <protection hidden="1"/>
    </xf>
    <xf numFmtId="0" fontId="5" fillId="2" borderId="7" xfId="0" applyFont="1" applyFill="1" applyBorder="1" applyAlignment="1" applyProtection="1">
      <alignment vertical="top" wrapText="1"/>
      <protection hidden="1"/>
    </xf>
    <xf numFmtId="3" fontId="5" fillId="2" borderId="8" xfId="0" applyNumberFormat="1" applyFont="1" applyFill="1" applyBorder="1" applyAlignment="1" applyProtection="1">
      <alignment horizontal="center" vertical="top" wrapText="1"/>
      <protection hidden="1"/>
    </xf>
    <xf numFmtId="3" fontId="5" fillId="2" borderId="9" xfId="0" applyNumberFormat="1" applyFont="1" applyFill="1" applyBorder="1" applyAlignment="1" applyProtection="1">
      <alignment horizontal="center" vertical="top" wrapText="1"/>
      <protection hidden="1"/>
    </xf>
    <xf numFmtId="0" fontId="5" fillId="3" borderId="8" xfId="0" applyFont="1" applyFill="1" applyBorder="1" applyAlignment="1" applyProtection="1">
      <alignment horizontal="center" vertical="center" wrapText="1"/>
      <protection locked="0" hidden="1"/>
    </xf>
    <xf numFmtId="0" fontId="5" fillId="3" borderId="9" xfId="0" applyFont="1" applyFill="1" applyBorder="1" applyAlignment="1" applyProtection="1">
      <alignment horizontal="center" vertical="center" wrapText="1"/>
      <protection locked="0" hidden="1"/>
    </xf>
    <xf numFmtId="0" fontId="5" fillId="2" borderId="0" xfId="0" applyFont="1" applyFill="1" applyProtection="1"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vertical="top" wrapText="1"/>
      <protection hidden="1"/>
    </xf>
    <xf numFmtId="0" fontId="5" fillId="0" borderId="3" xfId="0" applyFont="1" applyBorder="1" applyAlignment="1" applyProtection="1">
      <alignment horizontal="center" vertical="top" wrapText="1"/>
      <protection hidden="1"/>
    </xf>
    <xf numFmtId="169" fontId="5" fillId="2" borderId="3" xfId="0" applyNumberFormat="1" applyFont="1" applyFill="1" applyBorder="1" applyAlignment="1" applyProtection="1">
      <alignment horizontal="center" vertical="center" wrapText="1"/>
      <protection hidden="1"/>
    </xf>
    <xf numFmtId="169" fontId="5" fillId="2" borderId="4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top" wrapText="1"/>
      <protection hidden="1"/>
    </xf>
    <xf numFmtId="169" fontId="5" fillId="2" borderId="1" xfId="0" applyNumberFormat="1" applyFont="1" applyFill="1" applyBorder="1" applyAlignment="1" applyProtection="1">
      <alignment horizontal="center" vertical="center" wrapText="1"/>
      <protection hidden="1"/>
    </xf>
    <xf numFmtId="169" fontId="5" fillId="2" borderId="6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top" wrapText="1"/>
      <protection hidden="1"/>
    </xf>
    <xf numFmtId="169" fontId="5" fillId="2" borderId="8" xfId="0" applyNumberFormat="1" applyFont="1" applyFill="1" applyBorder="1" applyAlignment="1" applyProtection="1">
      <alignment horizontal="center" vertical="center" wrapText="1"/>
      <protection hidden="1"/>
    </xf>
    <xf numFmtId="169" fontId="5" fillId="2" borderId="9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13" xfId="0" applyFont="1" applyFill="1" applyBorder="1" applyAlignment="1" applyProtection="1">
      <alignment horizontal="center" vertical="top" wrapText="1"/>
      <protection hidden="1"/>
    </xf>
    <xf numFmtId="169" fontId="4" fillId="2" borderId="13" xfId="0" applyNumberFormat="1" applyFont="1" applyFill="1" applyBorder="1" applyAlignment="1" applyProtection="1">
      <alignment horizontal="center" vertical="center" wrapText="1"/>
      <protection hidden="1"/>
    </xf>
    <xf numFmtId="169" fontId="4" fillId="2" borderId="14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Protection="1">
      <protection hidden="1"/>
    </xf>
    <xf numFmtId="169" fontId="5" fillId="4" borderId="3" xfId="0" applyNumberFormat="1" applyFont="1" applyFill="1" applyBorder="1" applyAlignment="1" applyProtection="1">
      <alignment horizontal="center" vertical="center" wrapText="1"/>
      <protection locked="0" hidden="1"/>
    </xf>
    <xf numFmtId="169" fontId="5" fillId="4" borderId="1" xfId="0" applyNumberFormat="1" applyFont="1" applyFill="1" applyBorder="1" applyAlignment="1" applyProtection="1">
      <alignment horizontal="center" vertical="center" wrapText="1"/>
      <protection locked="0" hidden="1"/>
    </xf>
    <xf numFmtId="169" fontId="5" fillId="4" borderId="8" xfId="0" applyNumberFormat="1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Protection="1">
      <protection hidden="1"/>
    </xf>
    <xf numFmtId="0" fontId="6" fillId="3" borderId="16" xfId="0" applyFont="1" applyFill="1" applyBorder="1" applyAlignment="1" applyProtection="1">
      <alignment horizontal="center" vertical="center"/>
      <protection hidden="1"/>
    </xf>
    <xf numFmtId="0" fontId="6" fillId="3" borderId="16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vertical="center"/>
      <protection hidden="1"/>
    </xf>
    <xf numFmtId="0" fontId="6" fillId="0" borderId="1" xfId="0" applyFont="1" applyBorder="1" applyAlignment="1" applyProtection="1">
      <alignment horizontal="center"/>
      <protection locked="0" hidden="1"/>
    </xf>
    <xf numFmtId="169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169" fontId="3" fillId="2" borderId="4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7" xfId="0" applyFont="1" applyFill="1" applyBorder="1" applyAlignment="1" applyProtection="1">
      <alignment vertical="center" wrapText="1"/>
      <protection hidden="1"/>
    </xf>
    <xf numFmtId="169" fontId="3" fillId="2" borderId="8" xfId="0" applyNumberFormat="1" applyFont="1" applyFill="1" applyBorder="1" applyAlignment="1" applyProtection="1">
      <alignment horizontal="center" vertical="center" wrapText="1"/>
      <protection hidden="1"/>
    </xf>
    <xf numFmtId="169" fontId="3" fillId="2" borderId="9" xfId="0" applyNumberFormat="1" applyFont="1" applyFill="1" applyBorder="1" applyAlignment="1" applyProtection="1">
      <alignment horizontal="center" vertical="center" wrapText="1"/>
      <protection hidden="1"/>
    </xf>
    <xf numFmtId="0" fontId="8" fillId="2" borderId="22" xfId="0" applyFont="1" applyFill="1" applyBorder="1" applyAlignment="1" applyProtection="1">
      <alignment horizontal="left" vertical="center" wrapText="1"/>
      <protection hidden="1"/>
    </xf>
    <xf numFmtId="169" fontId="8" fillId="2" borderId="19" xfId="0" applyNumberFormat="1" applyFont="1" applyFill="1" applyBorder="1" applyAlignment="1" applyProtection="1">
      <alignment horizontal="center" vertical="center" wrapText="1"/>
      <protection hidden="1"/>
    </xf>
    <xf numFmtId="169" fontId="8" fillId="2" borderId="39" xfId="0" applyNumberFormat="1" applyFont="1" applyFill="1" applyBorder="1" applyAlignment="1" applyProtection="1">
      <alignment horizontal="center" vertical="center" wrapText="1"/>
      <protection hidden="1"/>
    </xf>
    <xf numFmtId="0" fontId="8" fillId="2" borderId="7" xfId="0" applyFont="1" applyFill="1" applyBorder="1" applyAlignment="1" applyProtection="1">
      <alignment horizontal="left" vertical="center" wrapText="1"/>
      <protection hidden="1"/>
    </xf>
    <xf numFmtId="169" fontId="8" fillId="2" borderId="8" xfId="0" applyNumberFormat="1" applyFont="1" applyFill="1" applyBorder="1" applyAlignment="1" applyProtection="1">
      <alignment horizontal="center" vertical="center" wrapText="1"/>
      <protection hidden="1"/>
    </xf>
    <xf numFmtId="169" fontId="8" fillId="2" borderId="9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169" fontId="3" fillId="2" borderId="1" xfId="0" applyNumberFormat="1" applyFont="1" applyFill="1" applyBorder="1" applyAlignment="1" applyProtection="1">
      <alignment horizontal="center" vertical="center" wrapText="1"/>
      <protection hidden="1"/>
    </xf>
    <xf numFmtId="169" fontId="3" fillId="2" borderId="6" xfId="0" applyNumberFormat="1" applyFont="1" applyFill="1" applyBorder="1" applyAlignment="1" applyProtection="1">
      <alignment horizontal="center" vertical="center" wrapText="1"/>
      <protection hidden="1"/>
    </xf>
    <xf numFmtId="169" fontId="3" fillId="2" borderId="13" xfId="0" applyNumberFormat="1" applyFont="1" applyFill="1" applyBorder="1" applyAlignment="1" applyProtection="1">
      <alignment horizontal="center" vertical="center" wrapText="1"/>
      <protection hidden="1"/>
    </xf>
    <xf numFmtId="1" fontId="3" fillId="2" borderId="14" xfId="0" applyNumberFormat="1" applyFont="1" applyFill="1" applyBorder="1" applyAlignment="1" applyProtection="1">
      <alignment horizontal="center" vertical="center" wrapText="1"/>
      <protection hidden="1"/>
    </xf>
    <xf numFmtId="169" fontId="3" fillId="2" borderId="19" xfId="0" applyNumberFormat="1" applyFont="1" applyFill="1" applyBorder="1" applyAlignment="1" applyProtection="1">
      <alignment horizontal="center" vertical="center" wrapText="1"/>
      <protection hidden="1"/>
    </xf>
    <xf numFmtId="1" fontId="1" fillId="0" borderId="13" xfId="0" applyNumberFormat="1" applyFont="1" applyBorder="1" applyAlignment="1" applyProtection="1">
      <alignment horizontal="center" wrapText="1"/>
      <protection hidden="1"/>
    </xf>
    <xf numFmtId="1" fontId="1" fillId="0" borderId="14" xfId="0" applyNumberFormat="1" applyFont="1" applyBorder="1" applyAlignment="1" applyProtection="1">
      <alignment horizontal="center" wrapText="1"/>
      <protection hidden="1"/>
    </xf>
    <xf numFmtId="0" fontId="6" fillId="0" borderId="12" xfId="0" applyFont="1" applyBorder="1" applyAlignment="1" applyProtection="1">
      <alignment wrapText="1"/>
      <protection hidden="1"/>
    </xf>
    <xf numFmtId="0" fontId="13" fillId="0" borderId="0" xfId="0" applyFont="1" applyAlignment="1" applyProtection="1">
      <alignment wrapText="1"/>
      <protection hidden="1"/>
    </xf>
    <xf numFmtId="0" fontId="13" fillId="0" borderId="0" xfId="0" applyFont="1" applyAlignment="1" applyProtection="1">
      <alignment horizontal="center" vertical="center" wrapText="1"/>
      <protection hidden="1"/>
    </xf>
    <xf numFmtId="0" fontId="5" fillId="3" borderId="16" xfId="0" applyFont="1" applyFill="1" applyBorder="1" applyAlignment="1" applyProtection="1">
      <alignment horizontal="center" vertical="center" wrapText="1"/>
      <protection locked="0" hidden="1"/>
    </xf>
    <xf numFmtId="4" fontId="5" fillId="2" borderId="3" xfId="0" applyNumberFormat="1" applyFont="1" applyFill="1" applyBorder="1" applyAlignment="1" applyProtection="1">
      <alignment horizontal="right" wrapText="1"/>
      <protection hidden="1"/>
    </xf>
    <xf numFmtId="4" fontId="6" fillId="0" borderId="4" xfId="0" applyNumberFormat="1" applyFont="1" applyBorder="1" applyAlignment="1" applyProtection="1">
      <alignment horizontal="right" wrapText="1"/>
      <protection hidden="1"/>
    </xf>
    <xf numFmtId="4" fontId="5" fillId="2" borderId="1" xfId="0" applyNumberFormat="1" applyFont="1" applyFill="1" applyBorder="1" applyAlignment="1" applyProtection="1">
      <alignment horizontal="right" wrapText="1"/>
      <protection hidden="1"/>
    </xf>
    <xf numFmtId="4" fontId="6" fillId="0" borderId="6" xfId="0" applyNumberFormat="1" applyFont="1" applyBorder="1" applyAlignment="1" applyProtection="1">
      <alignment horizontal="right" wrapText="1"/>
      <protection hidden="1"/>
    </xf>
    <xf numFmtId="3" fontId="5" fillId="2" borderId="8" xfId="0" applyNumberFormat="1" applyFont="1" applyFill="1" applyBorder="1" applyAlignment="1" applyProtection="1">
      <alignment horizontal="right" wrapText="1"/>
      <protection hidden="1"/>
    </xf>
    <xf numFmtId="3" fontId="6" fillId="0" borderId="9" xfId="0" applyNumberFormat="1" applyFont="1" applyBorder="1" applyAlignment="1" applyProtection="1">
      <alignment horizontal="right" wrapText="1"/>
      <protection hidden="1"/>
    </xf>
    <xf numFmtId="0" fontId="5" fillId="2" borderId="2" xfId="0" applyFont="1" applyFill="1" applyBorder="1" applyAlignment="1" applyProtection="1">
      <alignment horizontal="left" vertical="center" wrapText="1"/>
      <protection hidden="1"/>
    </xf>
    <xf numFmtId="3" fontId="7" fillId="0" borderId="13" xfId="0" applyNumberFormat="1" applyFont="1" applyBorder="1" applyAlignment="1" applyProtection="1">
      <alignment horizontal="right" wrapText="1"/>
      <protection hidden="1"/>
    </xf>
    <xf numFmtId="2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2" fontId="3" fillId="2" borderId="4" xfId="0" applyNumberFormat="1" applyFont="1" applyFill="1" applyBorder="1" applyAlignment="1" applyProtection="1">
      <alignment horizontal="center" vertical="center" wrapText="1"/>
      <protection hidden="1"/>
    </xf>
    <xf numFmtId="2" fontId="3" fillId="2" borderId="1" xfId="0" applyNumberFormat="1" applyFont="1" applyFill="1" applyBorder="1" applyAlignment="1" applyProtection="1">
      <alignment horizontal="center" vertical="center" wrapText="1"/>
      <protection hidden="1"/>
    </xf>
    <xf numFmtId="2" fontId="3" fillId="2" borderId="6" xfId="0" applyNumberFormat="1" applyFont="1" applyFill="1" applyBorder="1" applyAlignment="1" applyProtection="1">
      <alignment horizontal="center" vertical="center" wrapText="1"/>
      <protection hidden="1"/>
    </xf>
    <xf numFmtId="3" fontId="3" fillId="2" borderId="8" xfId="0" applyNumberFormat="1" applyFont="1" applyFill="1" applyBorder="1" applyAlignment="1" applyProtection="1">
      <alignment horizontal="center" vertical="center" wrapText="1"/>
      <protection hidden="1"/>
    </xf>
    <xf numFmtId="3" fontId="3" fillId="2" borderId="9" xfId="0" applyNumberFormat="1" applyFont="1" applyFill="1" applyBorder="1" applyAlignment="1" applyProtection="1">
      <alignment horizontal="center" vertical="center" wrapText="1"/>
      <protection hidden="1"/>
    </xf>
    <xf numFmtId="0" fontId="8" fillId="2" borderId="12" xfId="0" applyFont="1" applyFill="1" applyBorder="1" applyAlignment="1" applyProtection="1">
      <alignment horizontal="left" vertical="center" wrapText="1"/>
      <protection hidden="1"/>
    </xf>
    <xf numFmtId="2" fontId="8" fillId="2" borderId="13" xfId="0" applyNumberFormat="1" applyFont="1" applyFill="1" applyBorder="1" applyAlignment="1" applyProtection="1">
      <alignment horizontal="center" vertical="center" wrapText="1"/>
      <protection hidden="1"/>
    </xf>
    <xf numFmtId="2" fontId="8" fillId="2" borderId="27" xfId="0" applyNumberFormat="1" applyFont="1" applyFill="1" applyBorder="1" applyAlignment="1" applyProtection="1">
      <alignment horizontal="center" vertical="center" wrapText="1"/>
      <protection hidden="1"/>
    </xf>
    <xf numFmtId="2" fontId="3" fillId="2" borderId="24" xfId="0" applyNumberFormat="1" applyFont="1" applyFill="1" applyBorder="1" applyAlignment="1" applyProtection="1">
      <alignment horizontal="center" vertical="center" wrapText="1"/>
      <protection hidden="1"/>
    </xf>
    <xf numFmtId="0" fontId="8" fillId="2" borderId="33" xfId="0" applyFont="1" applyFill="1" applyBorder="1" applyAlignment="1" applyProtection="1">
      <alignment horizontal="left" vertical="center" wrapText="1"/>
      <protection hidden="1"/>
    </xf>
    <xf numFmtId="2" fontId="8" fillId="2" borderId="34" xfId="0" applyNumberFormat="1" applyFont="1" applyFill="1" applyBorder="1" applyAlignment="1" applyProtection="1">
      <alignment horizontal="center" vertical="center" wrapText="1"/>
      <protection hidden="1"/>
    </xf>
    <xf numFmtId="2" fontId="8" fillId="2" borderId="38" xfId="0" applyNumberFormat="1" applyFont="1" applyFill="1" applyBorder="1" applyAlignment="1" applyProtection="1">
      <alignment horizontal="center" vertical="center" wrapText="1"/>
      <protection hidden="1"/>
    </xf>
    <xf numFmtId="2" fontId="8" fillId="2" borderId="8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24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37" xfId="0" applyFont="1" applyFill="1" applyBorder="1" applyAlignment="1" applyProtection="1">
      <alignment horizontal="center" vertical="center" wrapText="1"/>
      <protection hidden="1"/>
    </xf>
    <xf numFmtId="164" fontId="3" fillId="2" borderId="34" xfId="0" applyNumberFormat="1" applyFont="1" applyFill="1" applyBorder="1" applyAlignment="1" applyProtection="1">
      <alignment horizontal="center" vertical="center" wrapText="1"/>
      <protection hidden="1"/>
    </xf>
    <xf numFmtId="1" fontId="3" fillId="2" borderId="38" xfId="0" applyNumberFormat="1" applyFont="1" applyFill="1" applyBorder="1" applyAlignment="1" applyProtection="1">
      <alignment horizontal="center" vertical="center" wrapText="1"/>
      <protection hidden="1"/>
    </xf>
    <xf numFmtId="164" fontId="3" fillId="2" borderId="1" xfId="0" applyNumberFormat="1" applyFont="1" applyFill="1" applyBorder="1" applyAlignment="1" applyProtection="1">
      <alignment horizontal="center" vertical="center" wrapText="1"/>
      <protection hidden="1"/>
    </xf>
    <xf numFmtId="164" fontId="3" fillId="2" borderId="37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5" xfId="0" applyFont="1" applyFill="1" applyBorder="1" applyAlignment="1" applyProtection="1">
      <alignment vertical="top" wrapText="1"/>
      <protection hidden="1"/>
    </xf>
    <xf numFmtId="0" fontId="3" fillId="2" borderId="7" xfId="0" applyFont="1" applyFill="1" applyBorder="1" applyAlignment="1" applyProtection="1">
      <alignment vertical="top" wrapText="1"/>
      <protection hidden="1"/>
    </xf>
    <xf numFmtId="164" fontId="3" fillId="2" borderId="8" xfId="0" applyNumberFormat="1" applyFont="1" applyFill="1" applyBorder="1" applyAlignment="1" applyProtection="1">
      <alignment horizontal="center" vertical="center" wrapText="1"/>
      <protection hidden="1"/>
    </xf>
    <xf numFmtId="164" fontId="3" fillId="2" borderId="38" xfId="0" applyNumberFormat="1" applyFont="1" applyFill="1" applyBorder="1" applyAlignment="1" applyProtection="1">
      <alignment horizontal="center" vertical="center" wrapText="1"/>
      <protection hidden="1"/>
    </xf>
    <xf numFmtId="1" fontId="3" fillId="2" borderId="9" xfId="0" applyNumberFormat="1" applyFont="1" applyFill="1" applyBorder="1" applyAlignment="1" applyProtection="1">
      <alignment horizontal="center" vertical="center" wrapText="1"/>
      <protection hidden="1"/>
    </xf>
    <xf numFmtId="1" fontId="3" fillId="2" borderId="1" xfId="0" applyNumberFormat="1" applyFont="1" applyFill="1" applyBorder="1" applyAlignment="1" applyProtection="1">
      <alignment horizontal="center" vertical="center" wrapText="1"/>
      <protection hidden="1"/>
    </xf>
    <xf numFmtId="1" fontId="3" fillId="2" borderId="6" xfId="0" applyNumberFormat="1" applyFont="1" applyFill="1" applyBorder="1" applyAlignment="1" applyProtection="1">
      <alignment horizontal="center" vertical="center" wrapText="1"/>
      <protection hidden="1"/>
    </xf>
    <xf numFmtId="0" fontId="8" fillId="2" borderId="5" xfId="0" applyFont="1" applyFill="1" applyBorder="1" applyAlignment="1" applyProtection="1">
      <alignment horizontal="left" vertical="center" wrapText="1"/>
      <protection hidden="1"/>
    </xf>
    <xf numFmtId="164" fontId="8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1" fontId="8" fillId="2" borderId="6" xfId="0" applyNumberFormat="1" applyFont="1" applyFill="1" applyBorder="1" applyAlignment="1" applyProtection="1">
      <alignment horizontal="center" vertical="center" wrapText="1"/>
      <protection hidden="1"/>
    </xf>
    <xf numFmtId="0" fontId="8" fillId="2" borderId="5" xfId="0" applyFont="1" applyFill="1" applyBorder="1" applyAlignment="1" applyProtection="1">
      <alignment vertical="top" wrapText="1"/>
      <protection hidden="1"/>
    </xf>
    <xf numFmtId="2" fontId="8" fillId="2" borderId="1" xfId="0" applyNumberFormat="1" applyFont="1" applyFill="1" applyBorder="1" applyAlignment="1" applyProtection="1">
      <alignment horizontal="center" vertical="center" wrapText="1"/>
      <protection hidden="1"/>
    </xf>
    <xf numFmtId="2" fontId="8" fillId="2" borderId="6" xfId="0" applyNumberFormat="1" applyFont="1" applyFill="1" applyBorder="1" applyAlignment="1" applyProtection="1">
      <alignment horizontal="center" vertical="center" wrapText="1"/>
      <protection hidden="1"/>
    </xf>
    <xf numFmtId="2" fontId="3" fillId="2" borderId="8" xfId="0" applyNumberFormat="1" applyFont="1" applyFill="1" applyBorder="1" applyAlignment="1" applyProtection="1">
      <alignment horizontal="center" vertical="center" wrapText="1"/>
      <protection hidden="1"/>
    </xf>
    <xf numFmtId="2" fontId="3" fillId="2" borderId="9" xfId="0" applyNumberFormat="1" applyFont="1" applyFill="1" applyBorder="1" applyAlignment="1" applyProtection="1">
      <alignment horizontal="center" vertical="center" wrapText="1"/>
      <protection hidden="1"/>
    </xf>
    <xf numFmtId="2" fontId="0" fillId="0" borderId="0" xfId="0" applyNumberFormat="1" applyAlignment="1" applyProtection="1">
      <alignment wrapText="1"/>
      <protection hidden="1"/>
    </xf>
    <xf numFmtId="164" fontId="3" fillId="2" borderId="20" xfId="0" applyNumberFormat="1" applyFont="1" applyFill="1" applyBorder="1" applyAlignment="1" applyProtection="1">
      <alignment horizontal="center" vertical="center" wrapText="1"/>
      <protection hidden="1"/>
    </xf>
    <xf numFmtId="1" fontId="0" fillId="0" borderId="0" xfId="0" applyNumberFormat="1" applyAlignment="1" applyProtection="1">
      <alignment wrapText="1"/>
      <protection hidden="1"/>
    </xf>
    <xf numFmtId="167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167" fontId="3" fillId="2" borderId="4" xfId="0" applyNumberFormat="1" applyFont="1" applyFill="1" applyBorder="1" applyAlignment="1" applyProtection="1">
      <alignment horizontal="center" vertical="center" wrapText="1"/>
      <protection hidden="1"/>
    </xf>
    <xf numFmtId="167" fontId="3" fillId="2" borderId="1" xfId="0" applyNumberFormat="1" applyFont="1" applyFill="1" applyBorder="1" applyAlignment="1" applyProtection="1">
      <alignment horizontal="center" vertical="center" wrapText="1"/>
      <protection hidden="1"/>
    </xf>
    <xf numFmtId="167" fontId="3" fillId="2" borderId="6" xfId="0" applyNumberFormat="1" applyFont="1" applyFill="1" applyBorder="1" applyAlignment="1" applyProtection="1">
      <alignment horizontal="center" vertical="center" wrapText="1"/>
      <protection hidden="1"/>
    </xf>
    <xf numFmtId="168" fontId="3" fillId="2" borderId="5" xfId="0" applyNumberFormat="1" applyFont="1" applyFill="1" applyBorder="1" applyAlignment="1" applyProtection="1">
      <alignment horizontal="left" vertical="center" wrapText="1"/>
      <protection hidden="1"/>
    </xf>
    <xf numFmtId="167" fontId="3" fillId="2" borderId="11" xfId="0" applyNumberFormat="1" applyFont="1" applyFill="1" applyBorder="1" applyAlignment="1" applyProtection="1">
      <alignment horizontal="center" vertical="center" wrapText="1"/>
      <protection hidden="1"/>
    </xf>
    <xf numFmtId="167" fontId="8" fillId="2" borderId="9" xfId="0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alignment wrapText="1"/>
      <protection locked="0" hidden="1"/>
    </xf>
    <xf numFmtId="0" fontId="19" fillId="0" borderId="0" xfId="0" applyFont="1" applyAlignment="1" applyProtection="1">
      <alignment vertical="top" wrapText="1"/>
      <protection locked="0" hidden="1"/>
    </xf>
    <xf numFmtId="0" fontId="19" fillId="4" borderId="1" xfId="0" applyFont="1" applyFill="1" applyBorder="1" applyAlignment="1" applyProtection="1">
      <alignment wrapText="1"/>
      <protection locked="0" hidden="1"/>
    </xf>
    <xf numFmtId="0" fontId="21" fillId="2" borderId="0" xfId="0" applyFont="1" applyFill="1" applyProtection="1">
      <protection locked="0" hidden="1"/>
    </xf>
    <xf numFmtId="0" fontId="5" fillId="2" borderId="0" xfId="0" applyFont="1" applyFill="1" applyProtection="1">
      <protection locked="0" hidden="1"/>
    </xf>
    <xf numFmtId="0" fontId="0" fillId="0" borderId="0" xfId="0" applyAlignment="1" applyProtection="1">
      <alignment wrapText="1"/>
      <protection locked="0" hidden="1"/>
    </xf>
    <xf numFmtId="3" fontId="0" fillId="0" borderId="3" xfId="0" applyNumberFormat="1" applyBorder="1" applyAlignment="1" applyProtection="1">
      <alignment horizontal="center" wrapText="1"/>
      <protection hidden="1"/>
    </xf>
    <xf numFmtId="3" fontId="1" fillId="0" borderId="39" xfId="0" applyNumberFormat="1" applyFont="1" applyBorder="1" applyAlignment="1" applyProtection="1">
      <alignment horizontal="center" wrapText="1"/>
      <protection hidden="1"/>
    </xf>
    <xf numFmtId="3" fontId="0" fillId="0" borderId="26" xfId="0" applyNumberFormat="1" applyBorder="1" applyAlignment="1" applyProtection="1">
      <alignment horizontal="center" wrapText="1"/>
      <protection hidden="1"/>
    </xf>
    <xf numFmtId="3" fontId="1" fillId="0" borderId="45" xfId="0" applyNumberFormat="1" applyFont="1" applyBorder="1" applyAlignment="1" applyProtection="1">
      <alignment horizontal="center" wrapText="1"/>
      <protection hidden="1"/>
    </xf>
    <xf numFmtId="167" fontId="3" fillId="4" borderId="1" xfId="0" applyNumberFormat="1" applyFont="1" applyFill="1" applyBorder="1" applyAlignment="1" applyProtection="1">
      <alignment horizontal="center" vertical="center" wrapText="1"/>
      <protection locked="0" hidden="1"/>
    </xf>
    <xf numFmtId="167" fontId="3" fillId="4" borderId="19" xfId="0" applyNumberFormat="1" applyFont="1" applyFill="1" applyBorder="1" applyAlignment="1" applyProtection="1">
      <alignment horizontal="center" vertical="center" wrapText="1"/>
      <protection locked="0" hidden="1"/>
    </xf>
    <xf numFmtId="0" fontId="22" fillId="0" borderId="0" xfId="0" applyFont="1"/>
    <xf numFmtId="0" fontId="0" fillId="0" borderId="0" xfId="0" applyAlignment="1">
      <alignment vertical="top" wrapText="1"/>
    </xf>
    <xf numFmtId="0" fontId="23" fillId="0" borderId="0" xfId="1"/>
    <xf numFmtId="0" fontId="12" fillId="2" borderId="2" xfId="0" applyFont="1" applyFill="1" applyBorder="1" applyAlignment="1" applyProtection="1">
      <alignment vertical="top" wrapText="1"/>
      <protection locked="0"/>
    </xf>
    <xf numFmtId="0" fontId="5" fillId="2" borderId="5" xfId="0" applyFont="1" applyFill="1" applyBorder="1" applyAlignment="1" applyProtection="1">
      <alignment vertical="top" wrapText="1"/>
      <protection locked="0"/>
    </xf>
    <xf numFmtId="0" fontId="10" fillId="2" borderId="5" xfId="0" applyFont="1" applyFill="1" applyBorder="1" applyAlignment="1" applyProtection="1">
      <alignment vertical="top" wrapText="1"/>
      <protection locked="0"/>
    </xf>
    <xf numFmtId="0" fontId="12" fillId="2" borderId="7" xfId="0" applyFont="1" applyFill="1" applyBorder="1" applyAlignment="1" applyProtection="1">
      <alignment vertical="top" wrapText="1"/>
      <protection locked="0"/>
    </xf>
    <xf numFmtId="0" fontId="12" fillId="2" borderId="48" xfId="0" applyFont="1" applyFill="1" applyBorder="1" applyAlignment="1" applyProtection="1">
      <alignment vertical="top" wrapText="1"/>
      <protection locked="0"/>
    </xf>
    <xf numFmtId="0" fontId="10" fillId="2" borderId="22" xfId="0" applyFont="1" applyFill="1" applyBorder="1" applyAlignment="1" applyProtection="1">
      <alignment vertical="top" wrapText="1"/>
      <protection locked="0"/>
    </xf>
    <xf numFmtId="0" fontId="5" fillId="2" borderId="5" xfId="0" applyFont="1" applyFill="1" applyBorder="1" applyAlignment="1" applyProtection="1">
      <alignment wrapText="1"/>
      <protection locked="0"/>
    </xf>
    <xf numFmtId="0" fontId="5" fillId="0" borderId="5" xfId="0" applyFont="1" applyBorder="1" applyAlignment="1" applyProtection="1">
      <alignment vertical="top" wrapText="1"/>
      <protection locked="0"/>
    </xf>
    <xf numFmtId="0" fontId="12" fillId="2" borderId="19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vertical="top"/>
      <protection hidden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3" borderId="28" xfId="0" applyFill="1" applyBorder="1" applyAlignment="1">
      <alignment horizontal="center" wrapText="1"/>
    </xf>
    <xf numFmtId="0" fontId="0" fillId="3" borderId="33" xfId="0" applyFill="1" applyBorder="1" applyAlignment="1">
      <alignment horizontal="center" wrapText="1"/>
    </xf>
    <xf numFmtId="0" fontId="0" fillId="3" borderId="47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8" xfId="0" applyFill="1" applyBorder="1" applyAlignment="1">
      <alignment horizontal="center" vertical="center" wrapText="1"/>
    </xf>
    <xf numFmtId="0" fontId="0" fillId="3" borderId="44" xfId="0" applyFill="1" applyBorder="1" applyAlignment="1">
      <alignment horizontal="center" vertical="center" wrapText="1"/>
    </xf>
    <xf numFmtId="0" fontId="0" fillId="3" borderId="47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3" borderId="28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51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0" fillId="3" borderId="33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wrapText="1"/>
    </xf>
    <xf numFmtId="0" fontId="19" fillId="0" borderId="0" xfId="0" applyFont="1" applyAlignment="1" applyProtection="1">
      <alignment horizontal="left" wrapText="1"/>
      <protection locked="0" hidden="1"/>
    </xf>
    <xf numFmtId="0" fontId="19" fillId="0" borderId="54" xfId="0" applyFont="1" applyBorder="1" applyAlignment="1" applyProtection="1">
      <alignment horizontal="left" wrapText="1"/>
      <protection locked="0" hidden="1"/>
    </xf>
    <xf numFmtId="0" fontId="0" fillId="5" borderId="0" xfId="0" applyFill="1" applyAlignment="1">
      <alignment horizontal="left" vertical="top" wrapText="1"/>
    </xf>
    <xf numFmtId="0" fontId="0" fillId="5" borderId="0" xfId="0" applyFill="1" applyAlignment="1">
      <alignment horizontal="left" vertical="top"/>
    </xf>
    <xf numFmtId="0" fontId="19" fillId="0" borderId="0" xfId="0" applyFont="1" applyAlignment="1" applyProtection="1">
      <alignment horizontal="center" wrapText="1"/>
      <protection locked="0" hidden="1"/>
    </xf>
    <xf numFmtId="0" fontId="2" fillId="2" borderId="0" xfId="0" applyFont="1" applyFill="1" applyAlignment="1" applyProtection="1">
      <alignment horizontal="center" wrapText="1"/>
      <protection locked="0" hidden="1"/>
    </xf>
    <xf numFmtId="0" fontId="3" fillId="3" borderId="28" xfId="0" applyFont="1" applyFill="1" applyBorder="1" applyAlignment="1" applyProtection="1">
      <alignment horizontal="center" vertical="center" wrapText="1"/>
      <protection hidden="1"/>
    </xf>
    <xf numFmtId="0" fontId="3" fillId="3" borderId="33" xfId="0" applyFont="1" applyFill="1" applyBorder="1" applyAlignment="1" applyProtection="1">
      <alignment horizontal="center" vertical="center" wrapText="1"/>
      <protection hidden="1"/>
    </xf>
    <xf numFmtId="0" fontId="3" fillId="3" borderId="29" xfId="0" applyFont="1" applyFill="1" applyBorder="1" applyAlignment="1" applyProtection="1">
      <alignment horizontal="center" vertical="center" wrapText="1"/>
      <protection hidden="1"/>
    </xf>
    <xf numFmtId="0" fontId="3" fillId="3" borderId="30" xfId="0" applyFont="1" applyFill="1" applyBorder="1" applyAlignment="1" applyProtection="1">
      <alignment horizontal="center" vertical="center" wrapText="1"/>
      <protection hidden="1"/>
    </xf>
    <xf numFmtId="0" fontId="3" fillId="3" borderId="31" xfId="0" applyFont="1" applyFill="1" applyBorder="1" applyAlignment="1" applyProtection="1">
      <alignment horizontal="center" vertical="center" wrapText="1"/>
      <protection hidden="1"/>
    </xf>
    <xf numFmtId="0" fontId="3" fillId="3" borderId="32" xfId="0" applyFont="1" applyFill="1" applyBorder="1" applyAlignment="1" applyProtection="1">
      <alignment horizontal="center" vertical="center" wrapText="1"/>
      <protection hidden="1"/>
    </xf>
    <xf numFmtId="0" fontId="3" fillId="3" borderId="35" xfId="0" applyFont="1" applyFill="1" applyBorder="1" applyAlignment="1" applyProtection="1">
      <alignment horizontal="center" vertical="center" wrapText="1"/>
      <protection hidden="1"/>
    </xf>
    <xf numFmtId="0" fontId="0" fillId="5" borderId="0" xfId="0" applyFill="1" applyAlignment="1" applyProtection="1">
      <alignment horizontal="left" vertical="top" wrapText="1"/>
      <protection hidden="1"/>
    </xf>
    <xf numFmtId="0" fontId="8" fillId="2" borderId="40" xfId="0" applyFont="1" applyFill="1" applyBorder="1" applyAlignment="1" applyProtection="1">
      <alignment horizontal="left" vertical="center" wrapText="1"/>
      <protection hidden="1"/>
    </xf>
    <xf numFmtId="0" fontId="8" fillId="2" borderId="23" xfId="0" applyFont="1" applyFill="1" applyBorder="1" applyAlignment="1" applyProtection="1">
      <alignment horizontal="left" vertical="center" wrapText="1"/>
      <protection hidden="1"/>
    </xf>
    <xf numFmtId="0" fontId="8" fillId="2" borderId="24" xfId="0" applyFont="1" applyFill="1" applyBorder="1" applyAlignment="1" applyProtection="1">
      <alignment horizontal="left" vertical="center" wrapText="1"/>
      <protection hidden="1"/>
    </xf>
    <xf numFmtId="0" fontId="0" fillId="5" borderId="0" xfId="0" applyFont="1" applyFill="1" applyAlignment="1" applyProtection="1">
      <alignment horizontal="left" vertical="top" wrapText="1"/>
      <protection hidden="1"/>
    </xf>
    <xf numFmtId="0" fontId="19" fillId="0" borderId="0" xfId="0" applyFont="1" applyAlignment="1" applyProtection="1">
      <alignment horizontal="left" vertical="top" wrapText="1"/>
      <protection locked="0" hidden="1"/>
    </xf>
    <xf numFmtId="0" fontId="2" fillId="2" borderId="0" xfId="0" applyFont="1" applyFill="1" applyAlignment="1" applyProtection="1">
      <alignment horizontal="center"/>
      <protection locked="0" hidden="1"/>
    </xf>
    <xf numFmtId="0" fontId="0" fillId="5" borderId="0" xfId="0" applyFill="1" applyAlignment="1" applyProtection="1">
      <alignment horizontal="left" vertical="top"/>
      <protection hidden="1"/>
    </xf>
    <xf numFmtId="0" fontId="3" fillId="3" borderId="44" xfId="0" applyFont="1" applyFill="1" applyBorder="1" applyAlignment="1" applyProtection="1">
      <alignment horizontal="center" vertical="center" wrapText="1"/>
      <protection hidden="1"/>
    </xf>
    <xf numFmtId="0" fontId="3" fillId="3" borderId="45" xfId="0" applyFont="1" applyFill="1" applyBorder="1" applyAlignment="1" applyProtection="1">
      <alignment horizontal="center" vertical="center" wrapText="1"/>
      <protection hidden="1"/>
    </xf>
    <xf numFmtId="0" fontId="13" fillId="5" borderId="0" xfId="0" applyFont="1" applyFill="1" applyAlignment="1" applyProtection="1">
      <alignment horizontal="left" vertical="top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48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horizontal="center" vertical="center" wrapText="1"/>
      <protection hidden="1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49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Alignment="1" applyProtection="1">
      <alignment horizontal="center" wrapText="1"/>
      <protection locked="0" hidden="1"/>
    </xf>
    <xf numFmtId="0" fontId="5" fillId="3" borderId="7" xfId="0" applyFont="1" applyFill="1" applyBorder="1" applyAlignment="1" applyProtection="1">
      <alignment horizontal="center" vertical="center" wrapText="1"/>
      <protection hidden="1"/>
    </xf>
    <xf numFmtId="0" fontId="25" fillId="5" borderId="0" xfId="0" applyFont="1" applyFill="1" applyAlignment="1" applyProtection="1">
      <alignment horizontal="left" vertical="top" wrapText="1"/>
      <protection locked="0" hidden="1"/>
    </xf>
    <xf numFmtId="0" fontId="4" fillId="0" borderId="15" xfId="0" applyFont="1" applyBorder="1" applyAlignment="1" applyProtection="1">
      <alignment horizontal="center" wrapText="1"/>
      <protection locked="0" hidden="1"/>
    </xf>
    <xf numFmtId="0" fontId="26" fillId="5" borderId="0" xfId="0" applyFont="1" applyFill="1" applyAlignment="1" applyProtection="1">
      <alignment horizontal="left" vertical="top" wrapText="1"/>
      <protection hidden="1"/>
    </xf>
    <xf numFmtId="0" fontId="26" fillId="5" borderId="0" xfId="0" applyFont="1" applyFill="1" applyAlignment="1" applyProtection="1">
      <alignment horizontal="left" vertical="top"/>
      <protection hidden="1"/>
    </xf>
    <xf numFmtId="0" fontId="4" fillId="2" borderId="0" xfId="0" applyFont="1" applyFill="1" applyAlignment="1" applyProtection="1">
      <alignment horizontal="center"/>
      <protection locked="0" hidden="1"/>
    </xf>
    <xf numFmtId="0" fontId="5" fillId="3" borderId="28" xfId="0" applyFont="1" applyFill="1" applyBorder="1" applyAlignment="1" applyProtection="1">
      <alignment horizontal="center" vertical="center" wrapText="1"/>
      <protection hidden="1"/>
    </xf>
    <xf numFmtId="0" fontId="5" fillId="3" borderId="33" xfId="0" applyFont="1" applyFill="1" applyBorder="1" applyAlignment="1" applyProtection="1">
      <alignment horizontal="center" vertical="center" wrapText="1"/>
      <protection hidden="1"/>
    </xf>
    <xf numFmtId="0" fontId="5" fillId="3" borderId="4" xfId="0" applyFont="1" applyFill="1" applyBorder="1" applyAlignment="1" applyProtection="1">
      <alignment horizontal="center" vertical="center" wrapText="1"/>
      <protection hidden="1"/>
    </xf>
    <xf numFmtId="0" fontId="4" fillId="2" borderId="25" xfId="0" applyFont="1" applyFill="1" applyBorder="1" applyAlignment="1" applyProtection="1">
      <alignment horizontal="center" wrapText="1"/>
      <protection locked="0" hidden="1"/>
    </xf>
    <xf numFmtId="0" fontId="0" fillId="3" borderId="2" xfId="0" applyFill="1" applyBorder="1" applyAlignment="1" applyProtection="1">
      <alignment horizontal="center" vertical="center" wrapText="1"/>
      <protection hidden="1"/>
    </xf>
    <xf numFmtId="0" fontId="0" fillId="3" borderId="7" xfId="0" applyFill="1" applyBorder="1" applyAlignment="1" applyProtection="1">
      <alignment horizontal="center" vertical="center" wrapText="1"/>
      <protection hidden="1"/>
    </xf>
    <xf numFmtId="0" fontId="0" fillId="3" borderId="3" xfId="0" applyFill="1" applyBorder="1" applyAlignment="1" applyProtection="1">
      <alignment horizontal="center" vertical="center"/>
      <protection hidden="1"/>
    </xf>
    <xf numFmtId="0" fontId="1" fillId="3" borderId="4" xfId="0" applyFont="1" applyFill="1" applyBorder="1" applyAlignment="1" applyProtection="1">
      <alignment horizontal="center" vertical="center" wrapText="1"/>
      <protection hidden="1"/>
    </xf>
    <xf numFmtId="0" fontId="1" fillId="3" borderId="9" xfId="0" applyFont="1" applyFill="1" applyBorder="1" applyAlignment="1" applyProtection="1">
      <alignment horizontal="center" vertical="center" wrapText="1"/>
      <protection hidden="1"/>
    </xf>
    <xf numFmtId="0" fontId="4" fillId="0" borderId="25" xfId="0" applyFont="1" applyBorder="1" applyAlignment="1" applyProtection="1">
      <alignment horizontal="center" wrapText="1"/>
      <protection locked="0" hidden="1"/>
    </xf>
    <xf numFmtId="0" fontId="26" fillId="5" borderId="0" xfId="0" applyFont="1" applyFill="1" applyAlignment="1" applyProtection="1">
      <alignment horizontal="left" vertical="top" wrapText="1"/>
      <protection locked="0" hidden="1"/>
    </xf>
    <xf numFmtId="0" fontId="0" fillId="3" borderId="48" xfId="0" applyFill="1" applyBorder="1" applyAlignment="1" applyProtection="1">
      <alignment horizontal="center" vertical="center" wrapText="1"/>
      <protection hidden="1"/>
    </xf>
    <xf numFmtId="0" fontId="1" fillId="3" borderId="49" xfId="0" applyFont="1" applyFill="1" applyBorder="1" applyAlignment="1" applyProtection="1">
      <alignment horizontal="center" vertical="center" wrapText="1"/>
      <protection hidden="1"/>
    </xf>
    <xf numFmtId="0" fontId="7" fillId="0" borderId="25" xfId="0" applyFont="1" applyBorder="1" applyAlignment="1" applyProtection="1">
      <alignment horizontal="center"/>
      <protection locked="0" hidden="1"/>
    </xf>
    <xf numFmtId="0" fontId="4" fillId="2" borderId="0" xfId="0" applyFont="1" applyFill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/>
      <protection locked="0" hidden="1"/>
    </xf>
    <xf numFmtId="0" fontId="26" fillId="5" borderId="0" xfId="0" applyFont="1" applyFill="1" applyAlignment="1" applyProtection="1">
      <alignment horizontal="left" wrapText="1"/>
      <protection hidden="1"/>
    </xf>
    <xf numFmtId="0" fontId="4" fillId="0" borderId="0" xfId="0" applyFont="1" applyAlignment="1" applyProtection="1">
      <alignment horizontal="center"/>
      <protection locked="0"/>
    </xf>
    <xf numFmtId="0" fontId="26" fillId="5" borderId="0" xfId="0" applyFont="1" applyFill="1" applyAlignment="1">
      <alignment horizontal="left" vertical="top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44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/>
        <bottom/>
      </border>
      <protection hidden="1"/>
    </dxf>
    <dxf>
      <font>
        <b val="0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hidden="1"/>
    </dxf>
    <dxf>
      <border diagonalUp="0" diagonalDown="0">
        <left style="thin">
          <color indexed="64"/>
        </left>
        <right/>
        <top/>
        <bottom/>
      </border>
      <protection hidden="1"/>
    </dxf>
    <dxf>
      <numFmt numFmtId="3" formatCode="#,##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hidden="1"/>
    </dxf>
    <dxf>
      <border diagonalUp="0" diagonalDown="0">
        <left style="thin">
          <color indexed="64"/>
        </left>
        <right style="thin">
          <color indexed="64"/>
        </right>
        <top/>
        <bottom/>
      </border>
      <protection hidden="1"/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hidden="1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hidden="1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hidden="1"/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hidden="1"/>
    </dxf>
    <dxf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hidden="1"/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hidden="1"/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hidden="1"/>
    </dxf>
    <dxf>
      <protection hidden="1"/>
    </dxf>
    <dxf>
      <border outline="0">
        <top style="medium">
          <color indexed="64"/>
        </top>
        <bottom style="thin">
          <color indexed="64"/>
        </bottom>
      </border>
    </dxf>
    <dxf>
      <protection hidden="1"/>
    </dxf>
    <dxf>
      <border outline="0">
        <bottom style="medium">
          <color indexed="64"/>
        </bottom>
      </border>
    </dxf>
    <dxf>
      <protection hidden="1"/>
    </dxf>
    <dxf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38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37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Olena Rodnina" id="{2468463E-2D0D-4AB1-A8FA-FCAA924BDC61}" userId="S::olena.rodnina@qftp.org::18dda856-58eb-41d8-ba58-7c3341a833bc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770D0BE-0064-4DF4-AB3C-DDFEE3106422}" name="Інвестиції" displayName="Інвестиції" ref="A2:F86" totalsRowShown="0" headerRowDxfId="25" headerRowBorderDxfId="24" tableBorderDxfId="23">
  <autoFilter ref="A2:F86" xr:uid="{1770D0BE-0064-4DF4-AB3C-DDFEE3106422}"/>
  <tableColumns count="6">
    <tableColumn id="1" xr3:uid="{4BADF3FD-BAF9-48F4-AC54-6462FA570F18}" name="№ п/п" dataDxfId="22"/>
    <tableColumn id="2" xr3:uid="{404A5C9F-3264-454E-9A49-DFF5C12FFCA8}" name="Назва обладнання" dataDxfId="21"/>
    <tableColumn id="3" xr3:uid="{FCA14475-154D-4A7C-9A25-C71694AF4EA6}" name="Кількість, шт" dataDxfId="20"/>
    <tableColumn id="4" xr3:uid="{AEA056E5-D02B-4D45-87FB-CD4F90ED35F0}" name="Вартість одиниці з ПДВ, грн." dataDxfId="19"/>
    <tableColumn id="5" xr3:uid="{729CCE52-CE62-4B76-8887-43C47024C147}" name="Загальна вартість з ПДВ, грн." dataDxfId="18">
      <calculatedColumnFormula>C3*D3</calculatedColumnFormula>
    </tableColumn>
    <tableColumn id="6" xr3:uid="{D0596EF1-C0B7-4CD6-A5A9-9BBF642A8FDC}" name="Доцільний термін експлуатації, років" dataDxfId="17"/>
  </tableColumns>
  <tableStyleInfo name="TableStyleLight21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186C849-8718-4E42-ACF7-C6EC30FC9D40}" name="Таблица3" displayName="Таблица3" ref="A2:F87" totalsRowCount="1" headerRowDxfId="16" dataDxfId="14" totalsRowDxfId="12" headerRowBorderDxfId="15" tableBorderDxfId="13">
  <autoFilter ref="A2:F86" xr:uid="{A186C849-8718-4E42-ACF7-C6EC30FC9D40}"/>
  <tableColumns count="6">
    <tableColumn id="1" xr3:uid="{8228F331-445B-42FF-82D7-37AC2044E516}" name="№ п/п" totalsRowLabel="Итог" dataDxfId="11" totalsRowDxfId="10">
      <calculatedColumnFormula>Інвестиції!A3</calculatedColumnFormula>
    </tableColumn>
    <tableColumn id="2" xr3:uid="{AC7B6BA8-67CE-42CD-AF75-036647D7DA8F}" name="Стаття витрат" dataDxfId="9" totalsRowDxfId="8">
      <calculatedColumnFormula>Інвестиції[[#This Row],[Назва обладнання]]</calculatedColumnFormula>
    </tableColumn>
    <tableColumn id="3" xr3:uid="{5A58309A-98CA-4064-A871-3169A39C30B7}" name="Кількість, шт" dataDxfId="7" totalsRowDxfId="6">
      <calculatedColumnFormula>Інвестиції[[#This Row],[Кількість, шт]]</calculatedColumnFormula>
    </tableColumn>
    <tableColumn id="4" xr3:uid="{CE5D98D1-B33D-4579-9EC9-EC4008907D19}" name="Вартість одиниці без ПДВ, грн." dataDxfId="5" totalsRowDxfId="4">
      <calculatedColumnFormula>Інвестиції!D3*0.83333</calculatedColumnFormula>
    </tableColumn>
    <tableColumn id="5" xr3:uid="{74F28388-179F-4E06-8D10-25C45BADEFC5}" name="Загальна вартість без ПДВ, грн." dataDxfId="3" totalsRowDxfId="2">
      <calculatedColumnFormula>C3*D3</calculatedColumnFormula>
    </tableColumn>
    <tableColumn id="6" xr3:uid="{4A1B2B25-BD17-436D-9410-F16AA91387D1}" name="Величина щорічних амортизаційних відрахувань, грн." totalsRowFunction="sum" dataDxfId="1" totalsRowDxfId="0">
      <calculatedColumnFormula>Таблица3[[#This Row],[Загальна вартість без ПДВ, грн.]]/Інвестиції[[#This Row],[Доцільний термін експлуатації, років]]</calculatedColumnFormula>
    </tableColumn>
  </tableColumns>
  <tableStyleInfo name="TableStyleLight20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4" dT="2022-12-23T11:00:35.64" personId="{2468463E-2D0D-4AB1-A8FA-FCAA924BDC61}" id="{C7540C95-7178-46FF-A7C1-D98D606DA360}">
    <text>Раджу додати короткий опис до кожної таблиці на листках, де доступне редагування, навіть коротке, щоб користувачам було зрозуміло, що і з чого випливає</text>
  </threadedComment>
  <threadedComment ref="B4" dT="2022-12-23T11:02:35.29" personId="{2468463E-2D0D-4AB1-A8FA-FCAA924BDC61}" id="{650D10A5-B7D1-4447-BF4D-0284F90B7CD9}">
    <text>І так само додати на нередагувабельних листках які дані для чого, що з чого випливає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nets@ukr.net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475D4-B0D8-4F3D-88CE-BC828D5FD1CE}">
  <sheetPr>
    <tabColor rgb="FFFF0000"/>
  </sheetPr>
  <dimension ref="A1:M11"/>
  <sheetViews>
    <sheetView workbookViewId="0">
      <selection activeCell="M9" sqref="M9"/>
    </sheetView>
  </sheetViews>
  <sheetFormatPr defaultRowHeight="14.4" x14ac:dyDescent="0.3"/>
  <sheetData>
    <row r="1" spans="1:13" ht="14.4" customHeight="1" x14ac:dyDescent="0.3">
      <c r="A1" s="453" t="s">
        <v>0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39"/>
      <c r="M1" s="439"/>
    </row>
    <row r="2" spans="1:13" x14ac:dyDescent="0.3">
      <c r="A2" s="453"/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39"/>
      <c r="M2" s="439"/>
    </row>
    <row r="3" spans="1:13" x14ac:dyDescent="0.3">
      <c r="A3" s="453"/>
      <c r="B3" s="453"/>
      <c r="C3" s="453"/>
      <c r="D3" s="453"/>
      <c r="E3" s="453"/>
      <c r="F3" s="453"/>
      <c r="G3" s="453"/>
      <c r="H3" s="453"/>
      <c r="I3" s="453"/>
      <c r="J3" s="453"/>
      <c r="K3" s="453"/>
      <c r="L3" s="439"/>
      <c r="M3" s="439"/>
    </row>
    <row r="4" spans="1:13" x14ac:dyDescent="0.3">
      <c r="A4" s="453"/>
      <c r="B4" s="453"/>
      <c r="C4" s="453"/>
      <c r="D4" s="453"/>
      <c r="E4" s="453"/>
      <c r="F4" s="453"/>
      <c r="G4" s="453"/>
      <c r="H4" s="453"/>
      <c r="I4" s="453"/>
      <c r="J4" s="453"/>
      <c r="K4" s="453"/>
      <c r="L4" s="439"/>
      <c r="M4" s="439"/>
    </row>
    <row r="5" spans="1:13" x14ac:dyDescent="0.3">
      <c r="A5" s="453"/>
      <c r="B5" s="453"/>
      <c r="C5" s="453"/>
      <c r="D5" s="453"/>
      <c r="E5" s="453"/>
      <c r="F5" s="453"/>
      <c r="G5" s="453"/>
      <c r="H5" s="453"/>
      <c r="I5" s="453"/>
      <c r="J5" s="453"/>
      <c r="K5" s="453"/>
      <c r="L5" s="439"/>
      <c r="M5" s="439"/>
    </row>
    <row r="6" spans="1:13" x14ac:dyDescent="0.3">
      <c r="A6" s="453"/>
      <c r="B6" s="453"/>
      <c r="C6" s="453"/>
      <c r="D6" s="453"/>
      <c r="E6" s="453"/>
      <c r="F6" s="453"/>
      <c r="G6" s="453"/>
      <c r="H6" s="453"/>
      <c r="I6" s="453"/>
      <c r="J6" s="453"/>
      <c r="K6" s="453"/>
      <c r="L6" s="439"/>
      <c r="M6" s="439"/>
    </row>
    <row r="8" spans="1:13" x14ac:dyDescent="0.3">
      <c r="A8" t="s">
        <v>1</v>
      </c>
    </row>
    <row r="9" spans="1:13" x14ac:dyDescent="0.3">
      <c r="A9" t="s">
        <v>2</v>
      </c>
    </row>
    <row r="11" spans="1:13" x14ac:dyDescent="0.3">
      <c r="A11" t="s">
        <v>3</v>
      </c>
      <c r="B11" s="440" t="s">
        <v>4</v>
      </c>
    </row>
  </sheetData>
  <sheetProtection algorithmName="SHA-512" hashValue="bsqTDkDxWE/YRPBMP2hcOQ4rZsyy4C4kYaigc6e5yilgchIT+JhL3T+Cf2U+bC3juzOc12VcNGo9mhztVBE6BA==" saltValue="TcsZqPZ0L1bSwlXG1fQCSQ==" spinCount="100000" sheet="1" objects="1" scenarios="1"/>
  <mergeCells count="1">
    <mergeCell ref="A1:K6"/>
  </mergeCells>
  <hyperlinks>
    <hyperlink ref="B11" r:id="rId1" xr:uid="{B05C3C62-3409-4B5F-ACF0-0D7F29967B3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V73"/>
  <sheetViews>
    <sheetView workbookViewId="0">
      <selection activeCell="Q13" sqref="Q13"/>
    </sheetView>
  </sheetViews>
  <sheetFormatPr defaultColWidth="9.109375" defaultRowHeight="14.4" x14ac:dyDescent="0.3"/>
  <cols>
    <col min="1" max="1" width="25.6640625" style="251" customWidth="1"/>
    <col min="2" max="13" width="8.6640625" style="251" customWidth="1"/>
    <col min="14" max="16384" width="9.109375" style="251"/>
  </cols>
  <sheetData>
    <row r="1" spans="1:22" ht="15" thickBot="1" x14ac:dyDescent="0.35">
      <c r="A1" s="486" t="s">
        <v>257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</row>
    <row r="2" spans="1:22" ht="14.4" customHeight="1" x14ac:dyDescent="0.3">
      <c r="A2" s="505" t="s">
        <v>32</v>
      </c>
      <c r="B2" s="489" t="s">
        <v>33</v>
      </c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1"/>
      <c r="N2" s="492" t="s">
        <v>209</v>
      </c>
      <c r="Q2" s="481" t="s">
        <v>127</v>
      </c>
      <c r="R2" s="481"/>
      <c r="S2" s="426"/>
      <c r="T2" s="426"/>
      <c r="U2" s="426"/>
      <c r="V2" s="426"/>
    </row>
    <row r="3" spans="1:22" ht="15" customHeight="1" thickBot="1" x14ac:dyDescent="0.35">
      <c r="A3" s="511"/>
      <c r="B3" s="249" t="s">
        <v>34</v>
      </c>
      <c r="C3" s="266" t="s">
        <v>35</v>
      </c>
      <c r="D3" s="266" t="s">
        <v>36</v>
      </c>
      <c r="E3" s="266" t="s">
        <v>37</v>
      </c>
      <c r="F3" s="266" t="s">
        <v>38</v>
      </c>
      <c r="G3" s="266" t="s">
        <v>39</v>
      </c>
      <c r="H3" s="266" t="s">
        <v>40</v>
      </c>
      <c r="I3" s="266" t="s">
        <v>41</v>
      </c>
      <c r="J3" s="266" t="s">
        <v>42</v>
      </c>
      <c r="K3" s="266" t="s">
        <v>43</v>
      </c>
      <c r="L3" s="266" t="s">
        <v>44</v>
      </c>
      <c r="M3" s="266" t="s">
        <v>45</v>
      </c>
      <c r="N3" s="493"/>
      <c r="Q3" s="481" t="s">
        <v>231</v>
      </c>
      <c r="R3" s="481"/>
      <c r="S3" s="481"/>
      <c r="T3" s="481"/>
      <c r="U3" s="481"/>
      <c r="V3" s="481"/>
    </row>
    <row r="4" spans="1:22" ht="15" thickBot="1" x14ac:dyDescent="0.35">
      <c r="A4" s="164" t="s">
        <v>217</v>
      </c>
      <c r="B4" s="358">
        <f>'Збір молока по селах'!B4</f>
        <v>20</v>
      </c>
      <c r="C4" s="358">
        <f>'Збір молока по селах'!C4</f>
        <v>20</v>
      </c>
      <c r="D4" s="358">
        <f>'Збір молока по селах'!D4</f>
        <v>22</v>
      </c>
      <c r="E4" s="358">
        <f>'Збір молока по селах'!E4</f>
        <v>21</v>
      </c>
      <c r="F4" s="358">
        <f>'Збір молока по селах'!F4</f>
        <v>22</v>
      </c>
      <c r="G4" s="358">
        <f>'Збір молока по селах'!G4</f>
        <v>21</v>
      </c>
      <c r="H4" s="358">
        <f>'Збір молока по селах'!H4</f>
        <v>22</v>
      </c>
      <c r="I4" s="358">
        <f>'Збір молока по селах'!I4</f>
        <v>22</v>
      </c>
      <c r="J4" s="358">
        <f>'Збір молока по селах'!J4</f>
        <v>21</v>
      </c>
      <c r="K4" s="358">
        <f>'Збір молока по селах'!K4</f>
        <v>21</v>
      </c>
      <c r="L4" s="358">
        <f>'Збір молока по селах'!L4</f>
        <v>20</v>
      </c>
      <c r="M4" s="358">
        <f>'Збір молока по селах'!M4</f>
        <v>20</v>
      </c>
      <c r="N4" s="359">
        <f>SUM(B4:M4)</f>
        <v>252</v>
      </c>
      <c r="Q4" s="481"/>
      <c r="R4" s="481"/>
      <c r="S4" s="481"/>
      <c r="T4" s="481"/>
      <c r="U4" s="481"/>
      <c r="V4" s="481"/>
    </row>
    <row r="5" spans="1:22" s="252" customFormat="1" x14ac:dyDescent="0.3">
      <c r="A5" s="495" t="str">
        <f>Довідник!A5</f>
        <v>Село 1</v>
      </c>
      <c r="B5" s="496"/>
      <c r="C5" s="496"/>
      <c r="D5" s="496"/>
      <c r="E5" s="496"/>
      <c r="F5" s="496"/>
      <c r="G5" s="496"/>
      <c r="H5" s="496"/>
      <c r="I5" s="496"/>
      <c r="J5" s="496"/>
      <c r="K5" s="496"/>
      <c r="L5" s="496"/>
      <c r="M5" s="496"/>
      <c r="N5" s="497"/>
      <c r="Q5" s="481"/>
      <c r="R5" s="481"/>
      <c r="S5" s="481"/>
      <c r="T5" s="481"/>
      <c r="U5" s="481"/>
      <c r="V5" s="481"/>
    </row>
    <row r="6" spans="1:22" x14ac:dyDescent="0.3">
      <c r="A6" s="145" t="s">
        <v>258</v>
      </c>
      <c r="B6" s="360">
        <f>IF('Збір молока по селах'!B7&gt;0,B$4,0)</f>
        <v>20</v>
      </c>
      <c r="C6" s="360">
        <f>IF('Збір молока по селах'!C7&gt;0,C$4,0)</f>
        <v>20</v>
      </c>
      <c r="D6" s="360">
        <f>IF('Збір молока по селах'!D7&gt;0,D$4,0)</f>
        <v>22</v>
      </c>
      <c r="E6" s="360">
        <f>IF('Збір молока по селах'!E7&gt;0,E$4,0)</f>
        <v>21</v>
      </c>
      <c r="F6" s="360">
        <f>IF('Збір молока по селах'!F7&gt;0,F$4,0)</f>
        <v>22</v>
      </c>
      <c r="G6" s="360">
        <f>IF('Збір молока по селах'!G7&gt;0,G$4,0)</f>
        <v>21</v>
      </c>
      <c r="H6" s="360">
        <f>IF('Збір молока по селах'!H7&gt;0,H$4,0)</f>
        <v>22</v>
      </c>
      <c r="I6" s="360">
        <f>IF('Збір молока по селах'!I7&gt;0,I$4,0)</f>
        <v>22</v>
      </c>
      <c r="J6" s="360">
        <f>IF('Збір молока по селах'!J7&gt;0,J$4,0)</f>
        <v>21</v>
      </c>
      <c r="K6" s="360">
        <f>IF('Збір молока по селах'!K7&gt;0,K$4,0)</f>
        <v>21</v>
      </c>
      <c r="L6" s="360">
        <f>IF('Збір молока по селах'!L7&gt;0,L$4,0)</f>
        <v>20</v>
      </c>
      <c r="M6" s="360">
        <f>IF('Збір молока по селах'!M7&gt;0,M$4,0)</f>
        <v>20</v>
      </c>
      <c r="N6" s="361">
        <f>SUM(B6:M6)</f>
        <v>252</v>
      </c>
    </row>
    <row r="7" spans="1:22" ht="22.8" x14ac:dyDescent="0.3">
      <c r="A7" s="150" t="s">
        <v>259</v>
      </c>
      <c r="B7" s="360">
        <f>IF(B6&gt;0,Довідник!$B$5*2,0)</f>
        <v>10</v>
      </c>
      <c r="C7" s="360">
        <f>IF(C6&gt;0,Довідник!$B$5*2,0)</f>
        <v>10</v>
      </c>
      <c r="D7" s="360">
        <f>IF(D6&gt;0,Довідник!$B$5*2,0)</f>
        <v>10</v>
      </c>
      <c r="E7" s="360">
        <f>IF(E6&gt;0,Довідник!$B$5*2,0)</f>
        <v>10</v>
      </c>
      <c r="F7" s="360">
        <f>IF(F6&gt;0,Довідник!$B$5*2,0)</f>
        <v>10</v>
      </c>
      <c r="G7" s="360">
        <f>IF(G6&gt;0,Довідник!$B$5*2,0)</f>
        <v>10</v>
      </c>
      <c r="H7" s="360">
        <f>IF(H6&gt;0,Довідник!$B$5*2,0)</f>
        <v>10</v>
      </c>
      <c r="I7" s="360">
        <f>IF(I6&gt;0,Довідник!$B$5*2,0)</f>
        <v>10</v>
      </c>
      <c r="J7" s="360">
        <f>IF(J6&gt;0,Довідник!$B$5*2,0)</f>
        <v>10</v>
      </c>
      <c r="K7" s="360">
        <f>IF(K6&gt;0,Довідник!$B$5*2,0)</f>
        <v>10</v>
      </c>
      <c r="L7" s="360">
        <f>IF(L6&gt;0,Довідник!$B$5*2,0)</f>
        <v>10</v>
      </c>
      <c r="M7" s="360">
        <f>IF(M6&gt;0,Довідник!$B$5*2,0)</f>
        <v>10</v>
      </c>
      <c r="N7" s="361"/>
      <c r="Q7" s="494" t="s">
        <v>393</v>
      </c>
      <c r="R7" s="494"/>
      <c r="S7" s="494"/>
      <c r="T7" s="494"/>
      <c r="U7" s="494"/>
      <c r="V7" s="494"/>
    </row>
    <row r="8" spans="1:22" ht="23.4" thickBot="1" x14ac:dyDescent="0.35">
      <c r="A8" s="150" t="s">
        <v>260</v>
      </c>
      <c r="B8" s="360">
        <f>B6*B7</f>
        <v>200</v>
      </c>
      <c r="C8" s="360">
        <f t="shared" ref="C8:M8" si="0">C6*C7</f>
        <v>200</v>
      </c>
      <c r="D8" s="360">
        <f t="shared" si="0"/>
        <v>220</v>
      </c>
      <c r="E8" s="360">
        <f t="shared" si="0"/>
        <v>210</v>
      </c>
      <c r="F8" s="360">
        <f t="shared" si="0"/>
        <v>220</v>
      </c>
      <c r="G8" s="360">
        <f t="shared" si="0"/>
        <v>210</v>
      </c>
      <c r="H8" s="360">
        <f t="shared" si="0"/>
        <v>220</v>
      </c>
      <c r="I8" s="360">
        <f t="shared" si="0"/>
        <v>220</v>
      </c>
      <c r="J8" s="360">
        <f t="shared" si="0"/>
        <v>210</v>
      </c>
      <c r="K8" s="360">
        <f t="shared" si="0"/>
        <v>210</v>
      </c>
      <c r="L8" s="360">
        <f t="shared" si="0"/>
        <v>200</v>
      </c>
      <c r="M8" s="360">
        <f t="shared" si="0"/>
        <v>200</v>
      </c>
      <c r="N8" s="361">
        <f>SUM(B8:M8)</f>
        <v>2520</v>
      </c>
      <c r="Q8" s="494"/>
      <c r="R8" s="494"/>
      <c r="S8" s="494"/>
      <c r="T8" s="494"/>
      <c r="U8" s="494"/>
      <c r="V8" s="494"/>
    </row>
    <row r="9" spans="1:22" x14ac:dyDescent="0.3">
      <c r="A9" s="495" t="str">
        <f>Довідник!A6</f>
        <v>Село 2</v>
      </c>
      <c r="B9" s="496"/>
      <c r="C9" s="496"/>
      <c r="D9" s="496"/>
      <c r="E9" s="496"/>
      <c r="F9" s="496"/>
      <c r="G9" s="496"/>
      <c r="H9" s="496"/>
      <c r="I9" s="496"/>
      <c r="J9" s="496"/>
      <c r="K9" s="496"/>
      <c r="L9" s="496"/>
      <c r="M9" s="496"/>
      <c r="N9" s="497"/>
      <c r="Q9" s="494"/>
      <c r="R9" s="494"/>
      <c r="S9" s="494"/>
      <c r="T9" s="494"/>
      <c r="U9" s="494"/>
      <c r="V9" s="494"/>
    </row>
    <row r="10" spans="1:22" x14ac:dyDescent="0.3">
      <c r="A10" s="145" t="s">
        <v>258</v>
      </c>
      <c r="B10" s="360">
        <f>IF('Збір молока по селах'!B17&gt;0,B$4,0)</f>
        <v>20</v>
      </c>
      <c r="C10" s="360">
        <f>IF('Збір молока по селах'!C17&gt;0,C$4,0)</f>
        <v>20</v>
      </c>
      <c r="D10" s="360">
        <f>IF('Збір молока по селах'!D17&gt;0,D$4,0)</f>
        <v>22</v>
      </c>
      <c r="E10" s="360">
        <f>IF('Збір молока по селах'!E17&gt;0,E$4,0)</f>
        <v>21</v>
      </c>
      <c r="F10" s="360">
        <f>IF('Збір молока по селах'!F17&gt;0,F$4,0)</f>
        <v>22</v>
      </c>
      <c r="G10" s="360">
        <f>IF('Збір молока по селах'!G17&gt;0,G$4,0)</f>
        <v>21</v>
      </c>
      <c r="H10" s="360">
        <f>IF('Збір молока по селах'!H17&gt;0,H$4,0)</f>
        <v>22</v>
      </c>
      <c r="I10" s="360">
        <f>IF('Збір молока по селах'!I17&gt;0,I$4,0)</f>
        <v>22</v>
      </c>
      <c r="J10" s="360">
        <f>IF('Збір молока по селах'!J17&gt;0,J$4,0)</f>
        <v>21</v>
      </c>
      <c r="K10" s="360">
        <f>IF('Збір молока по селах'!K17&gt;0,K$4,0)</f>
        <v>21</v>
      </c>
      <c r="L10" s="360">
        <f>IF('Збір молока по селах'!L17&gt;0,L$4,0)</f>
        <v>20</v>
      </c>
      <c r="M10" s="360">
        <f>IF('Збір молока по селах'!M17&gt;0,M$4,0)</f>
        <v>20</v>
      </c>
      <c r="N10" s="361">
        <f t="shared" ref="N10" si="1">N4</f>
        <v>252</v>
      </c>
      <c r="Q10" s="494"/>
      <c r="R10" s="494"/>
      <c r="S10" s="494"/>
      <c r="T10" s="494"/>
      <c r="U10" s="494"/>
      <c r="V10" s="494"/>
    </row>
    <row r="11" spans="1:22" ht="22.8" x14ac:dyDescent="0.3">
      <c r="A11" s="150" t="s">
        <v>259</v>
      </c>
      <c r="B11" s="360">
        <f>IF(B10&gt;0,Довідник!$B$6*2,0)</f>
        <v>4</v>
      </c>
      <c r="C11" s="360">
        <f>IF(C10&gt;0,Довідник!$B$6*2,0)</f>
        <v>4</v>
      </c>
      <c r="D11" s="360">
        <f>IF(D10&gt;0,Довідник!$B$6*2,0)</f>
        <v>4</v>
      </c>
      <c r="E11" s="360">
        <f>IF(E10&gt;0,Довідник!$B$6*2,0)</f>
        <v>4</v>
      </c>
      <c r="F11" s="360">
        <f>IF(F10&gt;0,Довідник!$B$6*2,0)</f>
        <v>4</v>
      </c>
      <c r="G11" s="360">
        <f>IF(G10&gt;0,Довідник!$B$6*2,0)</f>
        <v>4</v>
      </c>
      <c r="H11" s="360">
        <f>IF(H10&gt;0,Довідник!$B$6*2,0)</f>
        <v>4</v>
      </c>
      <c r="I11" s="360">
        <f>IF(I10&gt;0,Довідник!$B$6*2,0)</f>
        <v>4</v>
      </c>
      <c r="J11" s="360">
        <f>IF(J10&gt;0,Довідник!$B$6*2,0)</f>
        <v>4</v>
      </c>
      <c r="K11" s="360">
        <f>IF(K10&gt;0,Довідник!$B$6*2,0)</f>
        <v>4</v>
      </c>
      <c r="L11" s="360">
        <f>IF(L10&gt;0,Довідник!$B$6*2,0)</f>
        <v>4</v>
      </c>
      <c r="M11" s="360">
        <f>IF(M10&gt;0,Довідник!$B$6*2,0)</f>
        <v>4</v>
      </c>
      <c r="N11" s="361"/>
      <c r="Q11" s="494"/>
      <c r="R11" s="494"/>
      <c r="S11" s="494"/>
      <c r="T11" s="494"/>
      <c r="U11" s="494"/>
      <c r="V11" s="494"/>
    </row>
    <row r="12" spans="1:22" ht="23.4" thickBot="1" x14ac:dyDescent="0.35">
      <c r="A12" s="171" t="s">
        <v>260</v>
      </c>
      <c r="B12" s="350">
        <f>B10*B11</f>
        <v>80</v>
      </c>
      <c r="C12" s="350">
        <f t="shared" ref="C12:M12" si="2">C10*C11</f>
        <v>80</v>
      </c>
      <c r="D12" s="350">
        <f t="shared" si="2"/>
        <v>88</v>
      </c>
      <c r="E12" s="350">
        <f t="shared" si="2"/>
        <v>84</v>
      </c>
      <c r="F12" s="350">
        <f t="shared" si="2"/>
        <v>88</v>
      </c>
      <c r="G12" s="350">
        <f t="shared" si="2"/>
        <v>84</v>
      </c>
      <c r="H12" s="350">
        <f t="shared" si="2"/>
        <v>88</v>
      </c>
      <c r="I12" s="350">
        <f t="shared" si="2"/>
        <v>88</v>
      </c>
      <c r="J12" s="350">
        <f t="shared" si="2"/>
        <v>84</v>
      </c>
      <c r="K12" s="350">
        <f t="shared" si="2"/>
        <v>84</v>
      </c>
      <c r="L12" s="350">
        <f t="shared" si="2"/>
        <v>80</v>
      </c>
      <c r="M12" s="350">
        <f t="shared" si="2"/>
        <v>80</v>
      </c>
      <c r="N12" s="351">
        <f>SUM(B12:M12)</f>
        <v>1008</v>
      </c>
      <c r="Q12" s="494"/>
      <c r="R12" s="494"/>
      <c r="S12" s="494"/>
      <c r="T12" s="494"/>
      <c r="U12" s="494"/>
      <c r="V12" s="494"/>
    </row>
    <row r="13" spans="1:22" x14ac:dyDescent="0.3">
      <c r="A13" s="495" t="str">
        <f>Довідник!A7</f>
        <v>Село 3</v>
      </c>
      <c r="B13" s="496"/>
      <c r="C13" s="496"/>
      <c r="D13" s="496"/>
      <c r="E13" s="496"/>
      <c r="F13" s="496"/>
      <c r="G13" s="496"/>
      <c r="H13" s="496"/>
      <c r="I13" s="496"/>
      <c r="J13" s="496"/>
      <c r="K13" s="496"/>
      <c r="L13" s="496"/>
      <c r="M13" s="496"/>
      <c r="N13" s="497"/>
    </row>
    <row r="14" spans="1:22" x14ac:dyDescent="0.3">
      <c r="A14" s="145" t="s">
        <v>258</v>
      </c>
      <c r="B14" s="360">
        <f>IF('Збір молока по селах'!B27&gt;0,B$4,0)</f>
        <v>0</v>
      </c>
      <c r="C14" s="360">
        <f>IF('Збір молока по селах'!C27&gt;0,C$4,0)</f>
        <v>0</v>
      </c>
      <c r="D14" s="360">
        <f>IF('Збір молока по селах'!D27&gt;0,D$4,0)</f>
        <v>0</v>
      </c>
      <c r="E14" s="360">
        <f>IF('Збір молока по селах'!E27&gt;0,E$4,0)</f>
        <v>0</v>
      </c>
      <c r="F14" s="360">
        <f>IF('Збір молока по селах'!F27&gt;0,F$4,0)</f>
        <v>0</v>
      </c>
      <c r="G14" s="360">
        <f>IF('Збір молока по селах'!G27&gt;0,G$4,0)</f>
        <v>0</v>
      </c>
      <c r="H14" s="360">
        <f>IF('Збір молока по селах'!H27&gt;0,H$4,0)</f>
        <v>22</v>
      </c>
      <c r="I14" s="360">
        <f>IF('Збір молока по селах'!I27&gt;0,I$4,0)</f>
        <v>22</v>
      </c>
      <c r="J14" s="360">
        <f>IF('Збір молока по селах'!J27&gt;0,J$4,0)</f>
        <v>21</v>
      </c>
      <c r="K14" s="360">
        <f>IF('Збір молока по селах'!K27&gt;0,K$4,0)</f>
        <v>21</v>
      </c>
      <c r="L14" s="360">
        <f>IF('Збір молока по селах'!L27&gt;0,L$4,0)</f>
        <v>20</v>
      </c>
      <c r="M14" s="360">
        <f>IF('Збір молока по селах'!M27&gt;0,M$4,0)</f>
        <v>20</v>
      </c>
      <c r="N14" s="361">
        <f t="shared" ref="N14" si="3">N4</f>
        <v>252</v>
      </c>
    </row>
    <row r="15" spans="1:22" ht="22.8" x14ac:dyDescent="0.3">
      <c r="A15" s="150" t="s">
        <v>259</v>
      </c>
      <c r="B15" s="360">
        <f>IF(B14&gt;0,Довідник!$B$7*2,0)</f>
        <v>0</v>
      </c>
      <c r="C15" s="360">
        <f>IF(C14&gt;0,Довідник!$B$7*2,0)</f>
        <v>0</v>
      </c>
      <c r="D15" s="360">
        <f>IF(D14&gt;0,Довідник!$B$7*2,0)</f>
        <v>0</v>
      </c>
      <c r="E15" s="360">
        <f>IF(E14&gt;0,Довідник!$B$7*2,0)</f>
        <v>0</v>
      </c>
      <c r="F15" s="360">
        <f>IF(F14&gt;0,Довідник!$B$7*2,0)</f>
        <v>0</v>
      </c>
      <c r="G15" s="360">
        <f>IF(G14&gt;0,Довідник!$B$7*2,0)</f>
        <v>0</v>
      </c>
      <c r="H15" s="360">
        <f>IF(H14&gt;0,Довідник!$B$7*2,0)</f>
        <v>6</v>
      </c>
      <c r="I15" s="360">
        <f>IF(I14&gt;0,Довідник!$B$7*2,0)</f>
        <v>6</v>
      </c>
      <c r="J15" s="360">
        <f>IF(J14&gt;0,Довідник!$B$7*2,0)</f>
        <v>6</v>
      </c>
      <c r="K15" s="360">
        <f>IF(K14&gt;0,Довідник!$B$7*2,0)</f>
        <v>6</v>
      </c>
      <c r="L15" s="360">
        <f>IF(L14&gt;0,Довідник!$B$7*2,0)</f>
        <v>6</v>
      </c>
      <c r="M15" s="360">
        <f>IF(M14&gt;0,Довідник!$B$7*2,0)</f>
        <v>6</v>
      </c>
      <c r="N15" s="361"/>
    </row>
    <row r="16" spans="1:22" ht="23.4" thickBot="1" x14ac:dyDescent="0.35">
      <c r="A16" s="171" t="s">
        <v>260</v>
      </c>
      <c r="B16" s="350"/>
      <c r="C16" s="350"/>
      <c r="D16" s="350"/>
      <c r="E16" s="350"/>
      <c r="F16" s="350"/>
      <c r="G16" s="350"/>
      <c r="H16" s="350">
        <f t="shared" ref="H16:M16" si="4">H15*H14</f>
        <v>132</v>
      </c>
      <c r="I16" s="350">
        <f t="shared" si="4"/>
        <v>132</v>
      </c>
      <c r="J16" s="350">
        <f t="shared" si="4"/>
        <v>126</v>
      </c>
      <c r="K16" s="350">
        <f t="shared" si="4"/>
        <v>126</v>
      </c>
      <c r="L16" s="350">
        <f t="shared" si="4"/>
        <v>120</v>
      </c>
      <c r="M16" s="350">
        <f t="shared" si="4"/>
        <v>120</v>
      </c>
      <c r="N16" s="351">
        <f>SUM(B16:M16)</f>
        <v>756</v>
      </c>
    </row>
    <row r="17" spans="1:14" x14ac:dyDescent="0.3">
      <c r="A17" s="495" t="str">
        <f>Довідник!A8</f>
        <v>Село 4</v>
      </c>
      <c r="B17" s="496"/>
      <c r="C17" s="496"/>
      <c r="D17" s="496"/>
      <c r="E17" s="496"/>
      <c r="F17" s="496"/>
      <c r="G17" s="496"/>
      <c r="H17" s="496"/>
      <c r="I17" s="496"/>
      <c r="J17" s="496"/>
      <c r="K17" s="496"/>
      <c r="L17" s="496"/>
      <c r="M17" s="496"/>
      <c r="N17" s="497"/>
    </row>
    <row r="18" spans="1:14" x14ac:dyDescent="0.3">
      <c r="A18" s="145" t="s">
        <v>258</v>
      </c>
      <c r="B18" s="360">
        <f>IF('Збір молока по селах'!B37&gt;0,B$4,0)</f>
        <v>0</v>
      </c>
      <c r="C18" s="360">
        <f>IF('Збір молока по селах'!C37&gt;0,C$4,0)</f>
        <v>0</v>
      </c>
      <c r="D18" s="360">
        <f>IF('Збір молока по селах'!D37&gt;0,D$4,0)</f>
        <v>0</v>
      </c>
      <c r="E18" s="360">
        <f>IF('Збір молока по селах'!E37&gt;0,E$4,0)</f>
        <v>0</v>
      </c>
      <c r="F18" s="360">
        <f>IF('Збір молока по селах'!F37&gt;0,F$4,0)</f>
        <v>0</v>
      </c>
      <c r="G18" s="360">
        <f>IF('Збір молока по селах'!G37&gt;0,G$4,0)</f>
        <v>0</v>
      </c>
      <c r="H18" s="360">
        <f>IF('Збір молока по селах'!H37&gt;0,H$4,0)</f>
        <v>0</v>
      </c>
      <c r="I18" s="360">
        <f>IF('Збір молока по селах'!I37&gt;0,I$4,0)</f>
        <v>0</v>
      </c>
      <c r="J18" s="360">
        <f>IF('Збір молока по селах'!J37&gt;0,J$4,0)</f>
        <v>21</v>
      </c>
      <c r="K18" s="360">
        <f>IF('Збір молока по селах'!K37&gt;0,K$4,0)</f>
        <v>21</v>
      </c>
      <c r="L18" s="360">
        <f>IF('Збір молока по селах'!L37&gt;0,L$4,0)</f>
        <v>20</v>
      </c>
      <c r="M18" s="360">
        <f>IF('Збір молока по селах'!M37&gt;0,M$4,0)</f>
        <v>20</v>
      </c>
      <c r="N18" s="361">
        <f>SUM(B18:M18)</f>
        <v>82</v>
      </c>
    </row>
    <row r="19" spans="1:14" ht="22.8" x14ac:dyDescent="0.3">
      <c r="A19" s="150" t="s">
        <v>259</v>
      </c>
      <c r="B19" s="360">
        <f>IF(B18&gt;0,Довідник!$B$8*2,0)</f>
        <v>0</v>
      </c>
      <c r="C19" s="360">
        <f>IF(C18&gt;0,Довідник!$B$8*2,0)</f>
        <v>0</v>
      </c>
      <c r="D19" s="360">
        <f>IF(D18&gt;0,Довідник!$B$8*2,0)</f>
        <v>0</v>
      </c>
      <c r="E19" s="360">
        <f>IF(E18&gt;0,Довідник!$B$8*2,0)</f>
        <v>0</v>
      </c>
      <c r="F19" s="360">
        <f>IF(F18&gt;0,Довідник!$B$8*2,0)</f>
        <v>0</v>
      </c>
      <c r="G19" s="360">
        <f>IF(G18&gt;0,Довідник!$B$8*2,0)</f>
        <v>0</v>
      </c>
      <c r="H19" s="360">
        <f>IF(H18&gt;0,Довідник!$B$8*2,0)</f>
        <v>0</v>
      </c>
      <c r="I19" s="360">
        <f>IF(I18&gt;0,Довідник!$B$8*2,0)</f>
        <v>0</v>
      </c>
      <c r="J19" s="360">
        <f>IF(J18&gt;0,Довідник!$B$8*2,0)</f>
        <v>16</v>
      </c>
      <c r="K19" s="360">
        <f>IF(K18&gt;0,Довідник!$B$8*2,0)</f>
        <v>16</v>
      </c>
      <c r="L19" s="360">
        <f>IF(L18&gt;0,Довідник!$B$8*2,0)</f>
        <v>16</v>
      </c>
      <c r="M19" s="360">
        <f>IF(M18&gt;0,Довідник!$B$8*2,0)</f>
        <v>16</v>
      </c>
      <c r="N19" s="361"/>
    </row>
    <row r="20" spans="1:14" ht="23.4" thickBot="1" x14ac:dyDescent="0.35">
      <c r="A20" s="171" t="s">
        <v>260</v>
      </c>
      <c r="B20" s="350"/>
      <c r="C20" s="350"/>
      <c r="D20" s="350"/>
      <c r="E20" s="350"/>
      <c r="F20" s="350"/>
      <c r="G20" s="350"/>
      <c r="H20" s="350"/>
      <c r="I20" s="350"/>
      <c r="J20" s="350">
        <f t="shared" ref="J20:M20" si="5">J18*J19</f>
        <v>336</v>
      </c>
      <c r="K20" s="350">
        <f t="shared" si="5"/>
        <v>336</v>
      </c>
      <c r="L20" s="350">
        <f t="shared" si="5"/>
        <v>320</v>
      </c>
      <c r="M20" s="350">
        <f t="shared" si="5"/>
        <v>320</v>
      </c>
      <c r="N20" s="351">
        <f>SUM(B20:M20)</f>
        <v>1312</v>
      </c>
    </row>
    <row r="21" spans="1:14" ht="15" thickBot="1" x14ac:dyDescent="0.35">
      <c r="A21" s="302" t="str">
        <f>Довідник!$A$12</f>
        <v>Переїзди до ТМ</v>
      </c>
      <c r="B21" s="362">
        <f>IF(B$4&gt;0,Довідник!$B$12*2*B$4,0)</f>
        <v>1200</v>
      </c>
      <c r="C21" s="362">
        <f>IF(C$4&gt;0,Довідник!$B$12*2*C$4,0)</f>
        <v>1200</v>
      </c>
      <c r="D21" s="362">
        <f>IF(D$4&gt;0,Довідник!$B$12*2*D$4,0)</f>
        <v>1320</v>
      </c>
      <c r="E21" s="362">
        <f>IF(E$4&gt;0,Довідник!$B$12*2*E$4,0)</f>
        <v>1260</v>
      </c>
      <c r="F21" s="362">
        <f>IF(F$4&gt;0,Довідник!$B$12*2*F$4,0)</f>
        <v>1320</v>
      </c>
      <c r="G21" s="362">
        <f>IF(G$4&gt;0,Довідник!$B$12*2*G$4,0)</f>
        <v>1260</v>
      </c>
      <c r="H21" s="362">
        <f>IF(H$4&gt;0,Довідник!$B$12*2*H$4,0)</f>
        <v>1320</v>
      </c>
      <c r="I21" s="362">
        <f>IF(I$4&gt;0,Довідник!$B$12*2*I$4,0)</f>
        <v>1320</v>
      </c>
      <c r="J21" s="362">
        <f>IF(J$4&gt;0,Довідник!$B$12*2*J$4,0)</f>
        <v>1260</v>
      </c>
      <c r="K21" s="362">
        <f>IF(K$4&gt;0,Довідник!$B$12*2*K$4,0)</f>
        <v>1260</v>
      </c>
      <c r="L21" s="362">
        <f>IF(L$4&gt;0,Довідник!$B$12*2*L$4,0)</f>
        <v>1200</v>
      </c>
      <c r="M21" s="362">
        <f>IF(M$4&gt;0,Довідник!$B$12*2*M$4,0)</f>
        <v>1200</v>
      </c>
      <c r="N21" s="363">
        <f>SUM(B21:M21)</f>
        <v>15120</v>
      </c>
    </row>
    <row r="22" spans="1:14" ht="15" thickBot="1" x14ac:dyDescent="0.35">
      <c r="A22" s="302" t="str">
        <f>Довідник!$A$13</f>
        <v>Інші переїзди</v>
      </c>
      <c r="B22" s="364">
        <f>IF(B$4&gt;0,Довідник!$B$13*2*B$4,0)</f>
        <v>600</v>
      </c>
      <c r="C22" s="364">
        <f>IF(C$4&gt;0,Довідник!$B$13*2*C$4,0)</f>
        <v>600</v>
      </c>
      <c r="D22" s="364">
        <f>IF(D$4&gt;0,Довідник!$B$13*2*D$4,0)</f>
        <v>660</v>
      </c>
      <c r="E22" s="364">
        <f>IF(E$4&gt;0,Довідник!$B$13*2*E$4,0)</f>
        <v>630</v>
      </c>
      <c r="F22" s="364">
        <f>IF(F$4&gt;0,Довідник!$B$13*2*F$4,0)</f>
        <v>660</v>
      </c>
      <c r="G22" s="364">
        <f>IF(G$4&gt;0,Довідник!$B$13*2*G$4,0)</f>
        <v>630</v>
      </c>
      <c r="H22" s="364">
        <f>IF(H$4&gt;0,Довідник!$B$13*2*H$4,0)</f>
        <v>660</v>
      </c>
      <c r="I22" s="364">
        <f>IF(I$4&gt;0,Довідник!$B$13*2*I$4,0)</f>
        <v>660</v>
      </c>
      <c r="J22" s="364">
        <f>IF(J$4&gt;0,Довідник!$B$13*2*J$4,0)</f>
        <v>630</v>
      </c>
      <c r="K22" s="364">
        <f>IF(K$4&gt;0,Довідник!$B$13*2*K$4,0)</f>
        <v>630</v>
      </c>
      <c r="L22" s="364">
        <f>IF(L$4&gt;0,Довідник!$B$13*2*L$4,0)</f>
        <v>600</v>
      </c>
      <c r="M22" s="364">
        <f>IF(M$4&gt;0,Довідник!$B$13*2*M$4,0)</f>
        <v>600</v>
      </c>
      <c r="N22" s="309">
        <f>SUM(B22:M22)</f>
        <v>7560</v>
      </c>
    </row>
    <row r="23" spans="1:14" ht="29.4" thickBot="1" x14ac:dyDescent="0.35">
      <c r="A23" s="262" t="s">
        <v>261</v>
      </c>
      <c r="B23" s="365">
        <f>B8+B12+B16+B20+B21+B22</f>
        <v>2080</v>
      </c>
      <c r="C23" s="365">
        <f t="shared" ref="C23:M23" si="6">C8+C12+C16+C20+C21+C22</f>
        <v>2080</v>
      </c>
      <c r="D23" s="365">
        <f t="shared" si="6"/>
        <v>2288</v>
      </c>
      <c r="E23" s="365">
        <f t="shared" si="6"/>
        <v>2184</v>
      </c>
      <c r="F23" s="365">
        <f t="shared" si="6"/>
        <v>2288</v>
      </c>
      <c r="G23" s="365">
        <f t="shared" si="6"/>
        <v>2184</v>
      </c>
      <c r="H23" s="365">
        <f t="shared" si="6"/>
        <v>2420</v>
      </c>
      <c r="I23" s="365">
        <f t="shared" si="6"/>
        <v>2420</v>
      </c>
      <c r="J23" s="365">
        <f t="shared" si="6"/>
        <v>2646</v>
      </c>
      <c r="K23" s="365">
        <f t="shared" si="6"/>
        <v>2646</v>
      </c>
      <c r="L23" s="365">
        <f t="shared" si="6"/>
        <v>2520</v>
      </c>
      <c r="M23" s="365">
        <f t="shared" si="6"/>
        <v>2520</v>
      </c>
      <c r="N23" s="366">
        <f>N8+N12+N16+N20+N21+N22</f>
        <v>28276</v>
      </c>
    </row>
    <row r="26" spans="1:14" ht="15" customHeight="1" thickBot="1" x14ac:dyDescent="0.35">
      <c r="A26" s="486" t="s">
        <v>257</v>
      </c>
      <c r="B26" s="486"/>
      <c r="C26" s="486"/>
      <c r="D26" s="486"/>
      <c r="E26" s="486"/>
      <c r="F26" s="486"/>
      <c r="G26" s="486"/>
      <c r="H26" s="486"/>
      <c r="I26" s="486"/>
      <c r="J26" s="486"/>
      <c r="K26" s="486"/>
      <c r="L26" s="486"/>
      <c r="M26" s="486"/>
      <c r="N26" s="486"/>
    </row>
    <row r="27" spans="1:14" ht="14.4" customHeight="1" x14ac:dyDescent="0.3">
      <c r="A27" s="505" t="s">
        <v>32</v>
      </c>
      <c r="B27" s="489" t="s">
        <v>33</v>
      </c>
      <c r="C27" s="490"/>
      <c r="D27" s="490"/>
      <c r="E27" s="490"/>
      <c r="F27" s="490"/>
      <c r="G27" s="490"/>
      <c r="H27" s="490"/>
      <c r="I27" s="490"/>
      <c r="J27" s="490"/>
      <c r="K27" s="490"/>
      <c r="L27" s="490"/>
      <c r="M27" s="491"/>
      <c r="N27" s="492" t="s">
        <v>209</v>
      </c>
    </row>
    <row r="28" spans="1:14" ht="15" thickBot="1" x14ac:dyDescent="0.35">
      <c r="A28" s="511"/>
      <c r="B28" s="249" t="s">
        <v>34</v>
      </c>
      <c r="C28" s="266" t="s">
        <v>35</v>
      </c>
      <c r="D28" s="266" t="s">
        <v>36</v>
      </c>
      <c r="E28" s="266" t="s">
        <v>37</v>
      </c>
      <c r="F28" s="266" t="s">
        <v>38</v>
      </c>
      <c r="G28" s="266" t="s">
        <v>39</v>
      </c>
      <c r="H28" s="266" t="s">
        <v>40</v>
      </c>
      <c r="I28" s="266" t="s">
        <v>41</v>
      </c>
      <c r="J28" s="266" t="s">
        <v>42</v>
      </c>
      <c r="K28" s="266" t="s">
        <v>43</v>
      </c>
      <c r="L28" s="266" t="s">
        <v>44</v>
      </c>
      <c r="M28" s="266" t="s">
        <v>45</v>
      </c>
      <c r="N28" s="493"/>
    </row>
    <row r="29" spans="1:14" ht="15" thickBot="1" x14ac:dyDescent="0.35">
      <c r="A29" s="164" t="s">
        <v>217</v>
      </c>
      <c r="B29" s="358">
        <f>'Збір молока по селах'!B51</f>
        <v>20</v>
      </c>
      <c r="C29" s="358">
        <f>'Збір молока по селах'!C51</f>
        <v>20</v>
      </c>
      <c r="D29" s="358">
        <f>'Збір молока по селах'!D51</f>
        <v>22</v>
      </c>
      <c r="E29" s="358">
        <f>'Збір молока по селах'!E51</f>
        <v>21</v>
      </c>
      <c r="F29" s="358">
        <f>'Збір молока по селах'!F51</f>
        <v>22</v>
      </c>
      <c r="G29" s="358">
        <f>'Збір молока по селах'!G51</f>
        <v>21</v>
      </c>
      <c r="H29" s="358">
        <f>'Збір молока по селах'!H51</f>
        <v>22</v>
      </c>
      <c r="I29" s="358">
        <f>'Збір молока по селах'!I51</f>
        <v>22</v>
      </c>
      <c r="J29" s="358">
        <f>'Збір молока по селах'!J51</f>
        <v>21</v>
      </c>
      <c r="K29" s="358">
        <f>'Збір молока по селах'!K51</f>
        <v>21</v>
      </c>
      <c r="L29" s="358">
        <f>'Збір молока по селах'!L51</f>
        <v>20</v>
      </c>
      <c r="M29" s="358">
        <f>'Збір молока по селах'!M51</f>
        <v>20</v>
      </c>
      <c r="N29" s="359">
        <f>SUM(B29:M29)</f>
        <v>252</v>
      </c>
    </row>
    <row r="30" spans="1:14" x14ac:dyDescent="0.3">
      <c r="A30" s="495" t="str">
        <f>Довідник!A5</f>
        <v>Село 1</v>
      </c>
      <c r="B30" s="496"/>
      <c r="C30" s="496"/>
      <c r="D30" s="496"/>
      <c r="E30" s="496"/>
      <c r="F30" s="496"/>
      <c r="G30" s="496"/>
      <c r="H30" s="496"/>
      <c r="I30" s="496"/>
      <c r="J30" s="496"/>
      <c r="K30" s="496"/>
      <c r="L30" s="496"/>
      <c r="M30" s="496"/>
      <c r="N30" s="497"/>
    </row>
    <row r="31" spans="1:14" x14ac:dyDescent="0.3">
      <c r="A31" s="145" t="s">
        <v>258</v>
      </c>
      <c r="B31" s="360">
        <f>IF('Збір молока по селах'!B$54&gt;0,B$29,0)</f>
        <v>20</v>
      </c>
      <c r="C31" s="360">
        <f>IF('Збір молока по селах'!C$54&gt;0,C$29,0)</f>
        <v>20</v>
      </c>
      <c r="D31" s="360">
        <f>IF('Збір молока по селах'!D$54&gt;0,D$29,0)</f>
        <v>22</v>
      </c>
      <c r="E31" s="360">
        <f>IF('Збір молока по селах'!E$54&gt;0,E$29,0)</f>
        <v>21</v>
      </c>
      <c r="F31" s="360">
        <f>IF('Збір молока по селах'!F$54&gt;0,F$29,0)</f>
        <v>22</v>
      </c>
      <c r="G31" s="360">
        <f>IF('Збір молока по селах'!G$54&gt;0,G$29,0)</f>
        <v>21</v>
      </c>
      <c r="H31" s="360">
        <f>IF('Збір молока по селах'!H$54&gt;0,H$29,0)</f>
        <v>22</v>
      </c>
      <c r="I31" s="360">
        <f>IF('Збір молока по селах'!I$54&gt;0,I$29,0)</f>
        <v>22</v>
      </c>
      <c r="J31" s="360">
        <f>IF('Збір молока по селах'!J$54&gt;0,J$29,0)</f>
        <v>21</v>
      </c>
      <c r="K31" s="360">
        <f>IF('Збір молока по селах'!K$54&gt;0,K$29,0)</f>
        <v>21</v>
      </c>
      <c r="L31" s="360">
        <f>IF('Збір молока по селах'!L$54&gt;0,L$29,0)</f>
        <v>20</v>
      </c>
      <c r="M31" s="360">
        <f>IF('Збір молока по селах'!M$54&gt;0,M$29,0)</f>
        <v>20</v>
      </c>
      <c r="N31" s="361">
        <f>SUM(B31:M31)</f>
        <v>252</v>
      </c>
    </row>
    <row r="32" spans="1:14" ht="22.8" x14ac:dyDescent="0.3">
      <c r="A32" s="150" t="s">
        <v>259</v>
      </c>
      <c r="B32" s="360">
        <f>IF(B31&gt;0,Довідник!$B$5*2,0)</f>
        <v>10</v>
      </c>
      <c r="C32" s="360">
        <f>IF(C31&gt;0,Довідник!$B$5*2,0)</f>
        <v>10</v>
      </c>
      <c r="D32" s="360">
        <f>IF(D31&gt;0,Довідник!$B$5*2,0)</f>
        <v>10</v>
      </c>
      <c r="E32" s="360">
        <f>IF(E31&gt;0,Довідник!$B$5*2,0)</f>
        <v>10</v>
      </c>
      <c r="F32" s="360">
        <f>IF(F31&gt;0,Довідник!$B$5*2,0)</f>
        <v>10</v>
      </c>
      <c r="G32" s="360">
        <f>IF(G31&gt;0,Довідник!$B$5*2,0)</f>
        <v>10</v>
      </c>
      <c r="H32" s="360">
        <f>IF(H31&gt;0,Довідник!$B$5*2,0)</f>
        <v>10</v>
      </c>
      <c r="I32" s="360">
        <f>IF(I31&gt;0,Довідник!$B$5*2,0)</f>
        <v>10</v>
      </c>
      <c r="J32" s="360">
        <f>IF(J31&gt;0,Довідник!$B$5*2,0)</f>
        <v>10</v>
      </c>
      <c r="K32" s="360">
        <f>IF(K31&gt;0,Довідник!$B$5*2,0)</f>
        <v>10</v>
      </c>
      <c r="L32" s="360">
        <f>IF(L31&gt;0,Довідник!$B$5*2,0)</f>
        <v>10</v>
      </c>
      <c r="M32" s="360">
        <f>IF(M31&gt;0,Довідник!$B$5*2,0)</f>
        <v>10</v>
      </c>
      <c r="N32" s="361"/>
    </row>
    <row r="33" spans="1:14" ht="23.4" thickBot="1" x14ac:dyDescent="0.35">
      <c r="A33" s="150" t="s">
        <v>260</v>
      </c>
      <c r="B33" s="350">
        <f>B31*B32</f>
        <v>200</v>
      </c>
      <c r="C33" s="350">
        <f t="shared" ref="C33" si="7">C31*C32</f>
        <v>200</v>
      </c>
      <c r="D33" s="350">
        <f t="shared" ref="D33" si="8">D31*D32</f>
        <v>220</v>
      </c>
      <c r="E33" s="350">
        <f t="shared" ref="E33" si="9">E31*E32</f>
        <v>210</v>
      </c>
      <c r="F33" s="350">
        <f t="shared" ref="F33" si="10">F31*F32</f>
        <v>220</v>
      </c>
      <c r="G33" s="350">
        <f t="shared" ref="G33" si="11">G31*G32</f>
        <v>210</v>
      </c>
      <c r="H33" s="350">
        <f t="shared" ref="H33" si="12">H31*H32</f>
        <v>220</v>
      </c>
      <c r="I33" s="350">
        <f t="shared" ref="I33" si="13">I31*I32</f>
        <v>220</v>
      </c>
      <c r="J33" s="350">
        <f t="shared" ref="J33" si="14">J31*J32</f>
        <v>210</v>
      </c>
      <c r="K33" s="350">
        <f t="shared" ref="K33" si="15">K31*K32</f>
        <v>210</v>
      </c>
      <c r="L33" s="350">
        <f t="shared" ref="L33" si="16">L31*L32</f>
        <v>200</v>
      </c>
      <c r="M33" s="350">
        <f t="shared" ref="M33" si="17">M31*M32</f>
        <v>200</v>
      </c>
      <c r="N33" s="351">
        <f>SUM(B33:M33)</f>
        <v>2520</v>
      </c>
    </row>
    <row r="34" spans="1:14" x14ac:dyDescent="0.3">
      <c r="A34" s="495" t="str">
        <f>Довідник!A6</f>
        <v>Село 2</v>
      </c>
      <c r="B34" s="496"/>
      <c r="C34" s="496"/>
      <c r="D34" s="496"/>
      <c r="E34" s="496"/>
      <c r="F34" s="496"/>
      <c r="G34" s="496"/>
      <c r="H34" s="496"/>
      <c r="I34" s="496"/>
      <c r="J34" s="496"/>
      <c r="K34" s="496"/>
      <c r="L34" s="496"/>
      <c r="M34" s="496"/>
      <c r="N34" s="497"/>
    </row>
    <row r="35" spans="1:14" x14ac:dyDescent="0.3">
      <c r="A35" s="145" t="s">
        <v>258</v>
      </c>
      <c r="B35" s="360">
        <f>IF('Збір молока по селах'!B$64&gt;0,B$29,0)</f>
        <v>20</v>
      </c>
      <c r="C35" s="360">
        <f>IF('Збір молока по селах'!C$64&gt;0,C$29,0)</f>
        <v>20</v>
      </c>
      <c r="D35" s="360">
        <f>IF('Збір молока по селах'!D$64&gt;0,D$29,0)</f>
        <v>22</v>
      </c>
      <c r="E35" s="360">
        <f>IF('Збір молока по селах'!E$64&gt;0,E$29,0)</f>
        <v>21</v>
      </c>
      <c r="F35" s="360">
        <f>IF('Збір молока по селах'!F$64&gt;0,F$29,0)</f>
        <v>22</v>
      </c>
      <c r="G35" s="360">
        <f>IF('Збір молока по селах'!G$64&gt;0,G$29,0)</f>
        <v>21</v>
      </c>
      <c r="H35" s="360">
        <f>IF('Збір молока по селах'!H$64&gt;0,H$29,0)</f>
        <v>22</v>
      </c>
      <c r="I35" s="360">
        <f>IF('Збір молока по селах'!I$64&gt;0,I$29,0)</f>
        <v>22</v>
      </c>
      <c r="J35" s="360">
        <f>IF('Збір молока по селах'!J$64&gt;0,J$29,0)</f>
        <v>21</v>
      </c>
      <c r="K35" s="360">
        <f>IF('Збір молока по селах'!K$64&gt;0,K$29,0)</f>
        <v>21</v>
      </c>
      <c r="L35" s="360">
        <f>IF('Збір молока по селах'!L$64&gt;0,L$29,0)</f>
        <v>20</v>
      </c>
      <c r="M35" s="360">
        <f>IF('Збір молока по селах'!M$64&gt;0,M$29,0)</f>
        <v>20</v>
      </c>
      <c r="N35" s="361">
        <f t="shared" ref="N35" si="18">N29</f>
        <v>252</v>
      </c>
    </row>
    <row r="36" spans="1:14" ht="22.8" x14ac:dyDescent="0.3">
      <c r="A36" s="150" t="s">
        <v>259</v>
      </c>
      <c r="B36" s="360">
        <f>IF(B35&gt;0,Довідник!$B$6*2,0)</f>
        <v>4</v>
      </c>
      <c r="C36" s="360">
        <f>IF(C35&gt;0,Довідник!$B$6*2,0)</f>
        <v>4</v>
      </c>
      <c r="D36" s="360">
        <f>IF(D35&gt;0,Довідник!$B$6*2,0)</f>
        <v>4</v>
      </c>
      <c r="E36" s="360">
        <f>IF(E35&gt;0,Довідник!$B$6*2,0)</f>
        <v>4</v>
      </c>
      <c r="F36" s="360">
        <f>IF(F35&gt;0,Довідник!$B$6*2,0)</f>
        <v>4</v>
      </c>
      <c r="G36" s="360">
        <f>IF(G35&gt;0,Довідник!$B$6*2,0)</f>
        <v>4</v>
      </c>
      <c r="H36" s="360">
        <f>IF(H35&gt;0,Довідник!$B$6*2,0)</f>
        <v>4</v>
      </c>
      <c r="I36" s="360">
        <f>IF(I35&gt;0,Довідник!$B$6*2,0)</f>
        <v>4</v>
      </c>
      <c r="J36" s="360">
        <f>IF(J35&gt;0,Довідник!$B$6*2,0)</f>
        <v>4</v>
      </c>
      <c r="K36" s="360">
        <f>IF(K35&gt;0,Довідник!$B$6*2,0)</f>
        <v>4</v>
      </c>
      <c r="L36" s="360">
        <f>IF(L35&gt;0,Довідник!$B$6*2,0)</f>
        <v>4</v>
      </c>
      <c r="M36" s="360">
        <f>IF(M35&gt;0,Довідник!$B$6*2,0)</f>
        <v>4</v>
      </c>
      <c r="N36" s="361"/>
    </row>
    <row r="37" spans="1:14" ht="23.4" thickBot="1" x14ac:dyDescent="0.35">
      <c r="A37" s="171" t="s">
        <v>260</v>
      </c>
      <c r="B37" s="350">
        <f>B35*B36</f>
        <v>80</v>
      </c>
      <c r="C37" s="350">
        <f t="shared" ref="C37" si="19">C35*C36</f>
        <v>80</v>
      </c>
      <c r="D37" s="350">
        <f t="shared" ref="D37" si="20">D35*D36</f>
        <v>88</v>
      </c>
      <c r="E37" s="350">
        <f t="shared" ref="E37" si="21">E35*E36</f>
        <v>84</v>
      </c>
      <c r="F37" s="350">
        <f t="shared" ref="F37" si="22">F35*F36</f>
        <v>88</v>
      </c>
      <c r="G37" s="350">
        <f t="shared" ref="G37" si="23">G35*G36</f>
        <v>84</v>
      </c>
      <c r="H37" s="350">
        <f t="shared" ref="H37" si="24">H35*H36</f>
        <v>88</v>
      </c>
      <c r="I37" s="350">
        <f t="shared" ref="I37" si="25">I35*I36</f>
        <v>88</v>
      </c>
      <c r="J37" s="350">
        <f t="shared" ref="J37" si="26">J35*J36</f>
        <v>84</v>
      </c>
      <c r="K37" s="350">
        <f t="shared" ref="K37" si="27">K35*K36</f>
        <v>84</v>
      </c>
      <c r="L37" s="350">
        <f t="shared" ref="L37" si="28">L35*L36</f>
        <v>80</v>
      </c>
      <c r="M37" s="350">
        <f t="shared" ref="M37" si="29">M35*M36</f>
        <v>80</v>
      </c>
      <c r="N37" s="351">
        <f>SUM(B37:M37)</f>
        <v>1008</v>
      </c>
    </row>
    <row r="38" spans="1:14" x14ac:dyDescent="0.3">
      <c r="A38" s="495" t="str">
        <f>Довідник!A7</f>
        <v>Село 3</v>
      </c>
      <c r="B38" s="496"/>
      <c r="C38" s="496"/>
      <c r="D38" s="496"/>
      <c r="E38" s="496"/>
      <c r="F38" s="496"/>
      <c r="G38" s="496"/>
      <c r="H38" s="496"/>
      <c r="I38" s="496"/>
      <c r="J38" s="496"/>
      <c r="K38" s="496"/>
      <c r="L38" s="496"/>
      <c r="M38" s="496"/>
      <c r="N38" s="497"/>
    </row>
    <row r="39" spans="1:14" x14ac:dyDescent="0.3">
      <c r="A39" s="145" t="s">
        <v>258</v>
      </c>
      <c r="B39" s="360">
        <f>IF('Збір молока по селах'!B$74&gt;0,B$29,0)</f>
        <v>20</v>
      </c>
      <c r="C39" s="360">
        <f>IF('Збір молока по селах'!C$74&gt;0,C$29,0)</f>
        <v>20</v>
      </c>
      <c r="D39" s="360">
        <f>IF('Збір молока по селах'!D$74&gt;0,D$29,0)</f>
        <v>22</v>
      </c>
      <c r="E39" s="360">
        <f>IF('Збір молока по селах'!E$74&gt;0,E$29,0)</f>
        <v>21</v>
      </c>
      <c r="F39" s="360">
        <f>IF('Збір молока по селах'!F$74&gt;0,F$29,0)</f>
        <v>22</v>
      </c>
      <c r="G39" s="360">
        <f>IF('Збір молока по селах'!G$74&gt;0,G$29,0)</f>
        <v>21</v>
      </c>
      <c r="H39" s="360">
        <f>IF('Збір молока по селах'!H$74&gt;0,H$29,0)</f>
        <v>22</v>
      </c>
      <c r="I39" s="360">
        <f>IF('Збір молока по селах'!I$74&gt;0,I$29,0)</f>
        <v>22</v>
      </c>
      <c r="J39" s="360">
        <f>IF('Збір молока по селах'!J$74&gt;0,J$29,0)</f>
        <v>21</v>
      </c>
      <c r="K39" s="360">
        <f>IF('Збір молока по селах'!K$74&gt;0,K$29,0)</f>
        <v>21</v>
      </c>
      <c r="L39" s="360">
        <f>IF('Збір молока по селах'!L$74&gt;0,L$29,0)</f>
        <v>20</v>
      </c>
      <c r="M39" s="360">
        <f>IF('Збір молока по селах'!M$74&gt;0,M$29,0)</f>
        <v>20</v>
      </c>
      <c r="N39" s="361">
        <f t="shared" ref="N39" si="30">N29</f>
        <v>252</v>
      </c>
    </row>
    <row r="40" spans="1:14" ht="22.8" x14ac:dyDescent="0.3">
      <c r="A40" s="150" t="s">
        <v>259</v>
      </c>
      <c r="B40" s="360">
        <f>IF(B39&gt;0,Довідник!$B$7*2,0)</f>
        <v>6</v>
      </c>
      <c r="C40" s="360">
        <f>IF(C39&gt;0,Довідник!$B$7*2,0)</f>
        <v>6</v>
      </c>
      <c r="D40" s="360">
        <f>IF(D39&gt;0,Довідник!$B$7*2,0)</f>
        <v>6</v>
      </c>
      <c r="E40" s="360">
        <f>IF(E39&gt;0,Довідник!$B$7*2,0)</f>
        <v>6</v>
      </c>
      <c r="F40" s="360">
        <f>IF(F39&gt;0,Довідник!$B$7*2,0)</f>
        <v>6</v>
      </c>
      <c r="G40" s="360">
        <f>IF(G39&gt;0,Довідник!$B$7*2,0)</f>
        <v>6</v>
      </c>
      <c r="H40" s="360">
        <f>IF(H39&gt;0,Довідник!$B$7*2,0)</f>
        <v>6</v>
      </c>
      <c r="I40" s="360">
        <f>IF(I39&gt;0,Довідник!$B$7*2,0)</f>
        <v>6</v>
      </c>
      <c r="J40" s="360">
        <f>IF(J39&gt;0,Довідник!$B$7*2,0)</f>
        <v>6</v>
      </c>
      <c r="K40" s="360">
        <f>IF(K39&gt;0,Довідник!$B$7*2,0)</f>
        <v>6</v>
      </c>
      <c r="L40" s="360">
        <f>IF(L39&gt;0,Довідник!$B$7*2,0)</f>
        <v>6</v>
      </c>
      <c r="M40" s="360">
        <f>IF(M39&gt;0,Довідник!$B$7*2,0)</f>
        <v>6</v>
      </c>
      <c r="N40" s="361"/>
    </row>
    <row r="41" spans="1:14" ht="23.4" thickBot="1" x14ac:dyDescent="0.35">
      <c r="A41" s="171" t="s">
        <v>260</v>
      </c>
      <c r="B41" s="350">
        <f t="shared" ref="B41" si="31">B40*B39</f>
        <v>120</v>
      </c>
      <c r="C41" s="350">
        <f t="shared" ref="C41" si="32">C40*C39</f>
        <v>120</v>
      </c>
      <c r="D41" s="350">
        <f t="shared" ref="D41" si="33">D40*D39</f>
        <v>132</v>
      </c>
      <c r="E41" s="350">
        <f t="shared" ref="E41" si="34">E40*E39</f>
        <v>126</v>
      </c>
      <c r="F41" s="350">
        <f t="shared" ref="F41" si="35">F40*F39</f>
        <v>132</v>
      </c>
      <c r="G41" s="350">
        <f t="shared" ref="G41" si="36">G40*G39</f>
        <v>126</v>
      </c>
      <c r="H41" s="350">
        <f t="shared" ref="H41" si="37">H40*H39</f>
        <v>132</v>
      </c>
      <c r="I41" s="350">
        <f t="shared" ref="I41" si="38">I40*I39</f>
        <v>132</v>
      </c>
      <c r="J41" s="350">
        <f t="shared" ref="J41" si="39">J40*J39</f>
        <v>126</v>
      </c>
      <c r="K41" s="350">
        <f t="shared" ref="K41" si="40">K40*K39</f>
        <v>126</v>
      </c>
      <c r="L41" s="350">
        <f t="shared" ref="L41" si="41">L40*L39</f>
        <v>120</v>
      </c>
      <c r="M41" s="350">
        <f t="shared" ref="M41" si="42">M40*M39</f>
        <v>120</v>
      </c>
      <c r="N41" s="351">
        <f>SUM(B41:M41)</f>
        <v>1512</v>
      </c>
    </row>
    <row r="42" spans="1:14" x14ac:dyDescent="0.3">
      <c r="A42" s="495" t="str">
        <f>Довідник!A8</f>
        <v>Село 4</v>
      </c>
      <c r="B42" s="496"/>
      <c r="C42" s="496"/>
      <c r="D42" s="496"/>
      <c r="E42" s="496"/>
      <c r="F42" s="496"/>
      <c r="G42" s="496"/>
      <c r="H42" s="496"/>
      <c r="I42" s="496"/>
      <c r="J42" s="496"/>
      <c r="K42" s="496"/>
      <c r="L42" s="496"/>
      <c r="M42" s="496"/>
      <c r="N42" s="497"/>
    </row>
    <row r="43" spans="1:14" x14ac:dyDescent="0.3">
      <c r="A43" s="145" t="s">
        <v>258</v>
      </c>
      <c r="B43" s="360">
        <f>IF('Збір молока по селах'!B$84&gt;0,B$29,0)</f>
        <v>20</v>
      </c>
      <c r="C43" s="360">
        <f>IF('Збір молока по селах'!C$84&gt;0,C$29,0)</f>
        <v>20</v>
      </c>
      <c r="D43" s="360">
        <f>IF('Збір молока по селах'!D$84&gt;0,D$29,0)</f>
        <v>22</v>
      </c>
      <c r="E43" s="360">
        <f>IF('Збір молока по селах'!E$84&gt;0,E$29,0)</f>
        <v>21</v>
      </c>
      <c r="F43" s="360">
        <f>IF('Збір молока по селах'!F$84&gt;0,F$29,0)</f>
        <v>22</v>
      </c>
      <c r="G43" s="360">
        <f>IF('Збір молока по селах'!G$84&gt;0,G$29,0)</f>
        <v>21</v>
      </c>
      <c r="H43" s="360">
        <f>IF('Збір молока по селах'!H$84&gt;0,H$29,0)</f>
        <v>22</v>
      </c>
      <c r="I43" s="360">
        <f>IF('Збір молока по селах'!I$84&gt;0,I$29,0)</f>
        <v>22</v>
      </c>
      <c r="J43" s="360">
        <f>IF('Збір молока по селах'!J$84&gt;0,J$29,0)</f>
        <v>21</v>
      </c>
      <c r="K43" s="360">
        <f>IF('Збір молока по селах'!K$84&gt;0,K$29,0)</f>
        <v>21</v>
      </c>
      <c r="L43" s="360">
        <f>IF('Збір молока по селах'!L$84&gt;0,L$29,0)</f>
        <v>20</v>
      </c>
      <c r="M43" s="360">
        <f>IF('Збір молока по селах'!M$84&gt;0,M$29,0)</f>
        <v>20</v>
      </c>
      <c r="N43" s="361">
        <f>SUM(B43:M43)</f>
        <v>252</v>
      </c>
    </row>
    <row r="44" spans="1:14" ht="22.8" x14ac:dyDescent="0.3">
      <c r="A44" s="150" t="s">
        <v>259</v>
      </c>
      <c r="B44" s="360">
        <f>IF(B43&gt;0,Довідник!$B$8*2,0)</f>
        <v>16</v>
      </c>
      <c r="C44" s="360">
        <f>IF(C43&gt;0,Довідник!$B$8*2,0)</f>
        <v>16</v>
      </c>
      <c r="D44" s="360">
        <f>IF(D43&gt;0,Довідник!$B$8*2,0)</f>
        <v>16</v>
      </c>
      <c r="E44" s="360">
        <f>IF(E43&gt;0,Довідник!$B$8*2,0)</f>
        <v>16</v>
      </c>
      <c r="F44" s="360">
        <f>IF(F43&gt;0,Довідник!$B$8*2,0)</f>
        <v>16</v>
      </c>
      <c r="G44" s="360">
        <f>IF(G43&gt;0,Довідник!$B$8*2,0)</f>
        <v>16</v>
      </c>
      <c r="H44" s="360">
        <f>IF(H43&gt;0,Довідник!$B$8*2,0)</f>
        <v>16</v>
      </c>
      <c r="I44" s="360">
        <f>IF(I43&gt;0,Довідник!$B$8*2,0)</f>
        <v>16</v>
      </c>
      <c r="J44" s="360">
        <f>IF(J43&gt;0,Довідник!$B$8*2,0)</f>
        <v>16</v>
      </c>
      <c r="K44" s="360">
        <f>IF(K43&gt;0,Довідник!$B$8*2,0)</f>
        <v>16</v>
      </c>
      <c r="L44" s="360">
        <f>IF(L43&gt;0,Довідник!$B$8*2,0)</f>
        <v>16</v>
      </c>
      <c r="M44" s="360">
        <f>IF(M43&gt;0,Довідник!$B$8*2,0)</f>
        <v>16</v>
      </c>
      <c r="N44" s="361"/>
    </row>
    <row r="45" spans="1:14" ht="23.4" thickBot="1" x14ac:dyDescent="0.35">
      <c r="A45" s="171" t="s">
        <v>260</v>
      </c>
      <c r="B45" s="350">
        <f t="shared" ref="B45" si="43">B43*B44</f>
        <v>320</v>
      </c>
      <c r="C45" s="350">
        <f t="shared" ref="C45" si="44">C43*C44</f>
        <v>320</v>
      </c>
      <c r="D45" s="350">
        <f t="shared" ref="D45" si="45">D43*D44</f>
        <v>352</v>
      </c>
      <c r="E45" s="350">
        <f t="shared" ref="E45" si="46">E43*E44</f>
        <v>336</v>
      </c>
      <c r="F45" s="350">
        <f t="shared" ref="F45" si="47">F43*F44</f>
        <v>352</v>
      </c>
      <c r="G45" s="350">
        <f t="shared" ref="G45" si="48">G43*G44</f>
        <v>336</v>
      </c>
      <c r="H45" s="350">
        <f t="shared" ref="H45" si="49">H43*H44</f>
        <v>352</v>
      </c>
      <c r="I45" s="350">
        <f t="shared" ref="I45" si="50">I43*I44</f>
        <v>352</v>
      </c>
      <c r="J45" s="350">
        <f t="shared" ref="J45" si="51">J43*J44</f>
        <v>336</v>
      </c>
      <c r="K45" s="350">
        <f t="shared" ref="K45" si="52">K43*K44</f>
        <v>336</v>
      </c>
      <c r="L45" s="350">
        <f t="shared" ref="L45" si="53">L43*L44</f>
        <v>320</v>
      </c>
      <c r="M45" s="350">
        <f t="shared" ref="M45" si="54">M43*M44</f>
        <v>320</v>
      </c>
      <c r="N45" s="351">
        <f>SUM(B45:M45)</f>
        <v>4032</v>
      </c>
    </row>
    <row r="46" spans="1:14" ht="15" thickBot="1" x14ac:dyDescent="0.35">
      <c r="A46" s="367" t="str">
        <f>Довідник!$A$12</f>
        <v>Переїзди до ТМ</v>
      </c>
      <c r="B46" s="362">
        <f>IF(B$29&gt;0,Довідник!$B$12*2*B$29,0)</f>
        <v>1200</v>
      </c>
      <c r="C46" s="362">
        <f>IF(C$29&gt;0,Довідник!$B$12*2*C$29,0)</f>
        <v>1200</v>
      </c>
      <c r="D46" s="362">
        <f>IF(D$29&gt;0,Довідник!$B$12*2*D$29,0)</f>
        <v>1320</v>
      </c>
      <c r="E46" s="362">
        <f>IF(E$29&gt;0,Довідник!$B$12*2*E$29,0)</f>
        <v>1260</v>
      </c>
      <c r="F46" s="362">
        <f>IF(F$29&gt;0,Довідник!$B$12*2*F$29,0)</f>
        <v>1320</v>
      </c>
      <c r="G46" s="362">
        <f>IF(G$29&gt;0,Довідник!$B$12*2*G$29,0)</f>
        <v>1260</v>
      </c>
      <c r="H46" s="362">
        <f>IF(H$29&gt;0,Довідник!$B$12*2*H$29,0)</f>
        <v>1320</v>
      </c>
      <c r="I46" s="362">
        <f>IF(I$29&gt;0,Довідник!$B$12*2*I$29,0)</f>
        <v>1320</v>
      </c>
      <c r="J46" s="362">
        <f>IF(J$29&gt;0,Довідник!$B$12*2*J$29,0)</f>
        <v>1260</v>
      </c>
      <c r="K46" s="362">
        <f>IF(K$29&gt;0,Довідник!$B$12*2*K$29,0)</f>
        <v>1260</v>
      </c>
      <c r="L46" s="362">
        <f>IF(L$29&gt;0,Довідник!$B$12*2*L$29,0)</f>
        <v>1200</v>
      </c>
      <c r="M46" s="362">
        <f>IF(M$29&gt;0,Довідник!$B$12*2*M$29,0)</f>
        <v>1200</v>
      </c>
      <c r="N46" s="363">
        <f>SUM(B46:M46)</f>
        <v>15120</v>
      </c>
    </row>
    <row r="47" spans="1:14" ht="15" thickBot="1" x14ac:dyDescent="0.35">
      <c r="A47" s="367" t="str">
        <f>Довідник!$A$13</f>
        <v>Інші переїзди</v>
      </c>
      <c r="B47" s="364">
        <f>IF(B$29&gt;0,Довідник!$B$13*2*B$29,0)</f>
        <v>600</v>
      </c>
      <c r="C47" s="364">
        <f>IF(C$29&gt;0,Довідник!$B$13*2*C$29,0)</f>
        <v>600</v>
      </c>
      <c r="D47" s="364">
        <f>IF(D$29&gt;0,Довідник!$B$13*2*D$29,0)</f>
        <v>660</v>
      </c>
      <c r="E47" s="364">
        <f>IF(E$29&gt;0,Довідник!$B$13*2*E$29,0)</f>
        <v>630</v>
      </c>
      <c r="F47" s="364">
        <f>IF(F$29&gt;0,Довідник!$B$13*2*F$29,0)</f>
        <v>660</v>
      </c>
      <c r="G47" s="364">
        <f>IF(G$29&gt;0,Довідник!$B$13*2*G$29,0)</f>
        <v>630</v>
      </c>
      <c r="H47" s="364">
        <f>IF(H$29&gt;0,Довідник!$B$13*2*H$29,0)</f>
        <v>660</v>
      </c>
      <c r="I47" s="364">
        <f>IF(I$29&gt;0,Довідник!$B$13*2*I$29,0)</f>
        <v>660</v>
      </c>
      <c r="J47" s="364">
        <f>IF(J$29&gt;0,Довідник!$B$13*2*J$29,0)</f>
        <v>630</v>
      </c>
      <c r="K47" s="364">
        <f>IF(K$29&gt;0,Довідник!$B$13*2*K$29,0)</f>
        <v>630</v>
      </c>
      <c r="L47" s="364">
        <f>IF(L$29&gt;0,Довідник!$B$13*2*L$29,0)</f>
        <v>600</v>
      </c>
      <c r="M47" s="364">
        <f>IF(M$29&gt;0,Довідник!$B$13*2*M$29,0)</f>
        <v>600</v>
      </c>
      <c r="N47" s="309">
        <f>SUM(B47:M47)</f>
        <v>7560</v>
      </c>
    </row>
    <row r="48" spans="1:14" ht="29.4" thickBot="1" x14ac:dyDescent="0.35">
      <c r="A48" s="262" t="s">
        <v>261</v>
      </c>
      <c r="B48" s="365">
        <f>B33+B37+B41+B45+B46+B47</f>
        <v>2520</v>
      </c>
      <c r="C48" s="365">
        <f t="shared" ref="C48:N48" si="55">C33+C37+C41+C45+C46+C47</f>
        <v>2520</v>
      </c>
      <c r="D48" s="365">
        <f t="shared" si="55"/>
        <v>2772</v>
      </c>
      <c r="E48" s="365">
        <f t="shared" si="55"/>
        <v>2646</v>
      </c>
      <c r="F48" s="365">
        <f t="shared" si="55"/>
        <v>2772</v>
      </c>
      <c r="G48" s="365">
        <f t="shared" si="55"/>
        <v>2646</v>
      </c>
      <c r="H48" s="365">
        <f t="shared" si="55"/>
        <v>2772</v>
      </c>
      <c r="I48" s="365">
        <f t="shared" si="55"/>
        <v>2772</v>
      </c>
      <c r="J48" s="365">
        <f t="shared" si="55"/>
        <v>2646</v>
      </c>
      <c r="K48" s="365">
        <f t="shared" si="55"/>
        <v>2646</v>
      </c>
      <c r="L48" s="365">
        <f t="shared" si="55"/>
        <v>2520</v>
      </c>
      <c r="M48" s="365">
        <f t="shared" si="55"/>
        <v>2520</v>
      </c>
      <c r="N48" s="366">
        <f t="shared" si="55"/>
        <v>31752</v>
      </c>
    </row>
    <row r="51" spans="1:14" ht="15" customHeight="1" thickBot="1" x14ac:dyDescent="0.35">
      <c r="A51" s="486" t="s">
        <v>257</v>
      </c>
      <c r="B51" s="486"/>
      <c r="C51" s="486"/>
      <c r="D51" s="486"/>
      <c r="E51" s="486"/>
      <c r="F51" s="486"/>
      <c r="G51" s="486"/>
      <c r="H51" s="486"/>
      <c r="I51" s="486"/>
      <c r="J51" s="486"/>
      <c r="K51" s="486"/>
      <c r="L51" s="486"/>
      <c r="M51" s="486"/>
      <c r="N51" s="486"/>
    </row>
    <row r="52" spans="1:14" ht="14.4" customHeight="1" x14ac:dyDescent="0.3">
      <c r="A52" s="505" t="s">
        <v>32</v>
      </c>
      <c r="B52" s="489" t="s">
        <v>33</v>
      </c>
      <c r="C52" s="490"/>
      <c r="D52" s="490"/>
      <c r="E52" s="490"/>
      <c r="F52" s="490"/>
      <c r="G52" s="490"/>
      <c r="H52" s="490"/>
      <c r="I52" s="490"/>
      <c r="J52" s="490"/>
      <c r="K52" s="490"/>
      <c r="L52" s="490"/>
      <c r="M52" s="491"/>
      <c r="N52" s="492" t="s">
        <v>209</v>
      </c>
    </row>
    <row r="53" spans="1:14" ht="15" thickBot="1" x14ac:dyDescent="0.35">
      <c r="A53" s="511"/>
      <c r="B53" s="249" t="s">
        <v>34</v>
      </c>
      <c r="C53" s="266" t="s">
        <v>35</v>
      </c>
      <c r="D53" s="266" t="s">
        <v>36</v>
      </c>
      <c r="E53" s="266" t="s">
        <v>37</v>
      </c>
      <c r="F53" s="266" t="s">
        <v>38</v>
      </c>
      <c r="G53" s="266" t="s">
        <v>39</v>
      </c>
      <c r="H53" s="266" t="s">
        <v>40</v>
      </c>
      <c r="I53" s="266" t="s">
        <v>41</v>
      </c>
      <c r="J53" s="266" t="s">
        <v>42</v>
      </c>
      <c r="K53" s="266" t="s">
        <v>43</v>
      </c>
      <c r="L53" s="266" t="s">
        <v>44</v>
      </c>
      <c r="M53" s="266" t="s">
        <v>45</v>
      </c>
      <c r="N53" s="493"/>
    </row>
    <row r="54" spans="1:14" ht="15" thickBot="1" x14ac:dyDescent="0.35">
      <c r="A54" s="164" t="s">
        <v>217</v>
      </c>
      <c r="B54" s="358">
        <f>'Збір молока по селах'!B98</f>
        <v>20</v>
      </c>
      <c r="C54" s="358">
        <f>'Збір молока по селах'!C98</f>
        <v>20</v>
      </c>
      <c r="D54" s="358">
        <f>'Збір молока по селах'!D98</f>
        <v>22</v>
      </c>
      <c r="E54" s="358">
        <f>'Збір молока по селах'!E98</f>
        <v>21</v>
      </c>
      <c r="F54" s="358">
        <f>'Збір молока по селах'!F98</f>
        <v>22</v>
      </c>
      <c r="G54" s="358">
        <f>'Збір молока по селах'!G98</f>
        <v>21</v>
      </c>
      <c r="H54" s="358">
        <f>'Збір молока по селах'!H98</f>
        <v>22</v>
      </c>
      <c r="I54" s="358">
        <f>'Збір молока по селах'!I98</f>
        <v>22</v>
      </c>
      <c r="J54" s="358">
        <f>'Збір молока по селах'!J98</f>
        <v>21</v>
      </c>
      <c r="K54" s="358">
        <f>'Збір молока по селах'!K98</f>
        <v>21</v>
      </c>
      <c r="L54" s="358">
        <f>'Збір молока по селах'!L98</f>
        <v>20</v>
      </c>
      <c r="M54" s="358">
        <f>'Збір молока по селах'!M98</f>
        <v>20</v>
      </c>
      <c r="N54" s="359">
        <f>SUM(B54:M54)</f>
        <v>252</v>
      </c>
    </row>
    <row r="55" spans="1:14" x14ac:dyDescent="0.3">
      <c r="A55" s="495" t="str">
        <f>Довідник!A5</f>
        <v>Село 1</v>
      </c>
      <c r="B55" s="496"/>
      <c r="C55" s="496"/>
      <c r="D55" s="496"/>
      <c r="E55" s="496"/>
      <c r="F55" s="496"/>
      <c r="G55" s="496"/>
      <c r="H55" s="496"/>
      <c r="I55" s="496"/>
      <c r="J55" s="496"/>
      <c r="K55" s="496"/>
      <c r="L55" s="496"/>
      <c r="M55" s="496"/>
      <c r="N55" s="497"/>
    </row>
    <row r="56" spans="1:14" x14ac:dyDescent="0.3">
      <c r="A56" s="145" t="s">
        <v>258</v>
      </c>
      <c r="B56" s="360">
        <f>IF('Збір молока по селах'!B$101&gt;0,B$54,0)</f>
        <v>20</v>
      </c>
      <c r="C56" s="360">
        <f>IF('Збір молока по селах'!C$101&gt;0,C$54,0)</f>
        <v>20</v>
      </c>
      <c r="D56" s="360">
        <f>IF('Збір молока по селах'!D$101&gt;0,D$54,0)</f>
        <v>22</v>
      </c>
      <c r="E56" s="360">
        <f>IF('Збір молока по селах'!E$101&gt;0,E$54,0)</f>
        <v>21</v>
      </c>
      <c r="F56" s="360">
        <f>IF('Збір молока по селах'!F$101&gt;0,F$54,0)</f>
        <v>22</v>
      </c>
      <c r="G56" s="360">
        <f>IF('Збір молока по селах'!G$101&gt;0,G$54,0)</f>
        <v>21</v>
      </c>
      <c r="H56" s="360">
        <f>IF('Збір молока по селах'!H$101&gt;0,H$54,0)</f>
        <v>22</v>
      </c>
      <c r="I56" s="360">
        <f>IF('Збір молока по селах'!I$101&gt;0,I$54,0)</f>
        <v>22</v>
      </c>
      <c r="J56" s="360">
        <f>IF('Збір молока по селах'!J$101&gt;0,J$54,0)</f>
        <v>21</v>
      </c>
      <c r="K56" s="360">
        <f>IF('Збір молока по селах'!K$101&gt;0,K$54,0)</f>
        <v>21</v>
      </c>
      <c r="L56" s="360">
        <f>IF('Збір молока по селах'!L$101&gt;0,L$54,0)</f>
        <v>20</v>
      </c>
      <c r="M56" s="360">
        <f>IF('Збір молока по селах'!M$101&gt;0,M$54,0)</f>
        <v>20</v>
      </c>
      <c r="N56" s="361">
        <f>SUM(B56:M56)</f>
        <v>252</v>
      </c>
    </row>
    <row r="57" spans="1:14" ht="22.8" x14ac:dyDescent="0.3">
      <c r="A57" s="150" t="s">
        <v>259</v>
      </c>
      <c r="B57" s="360">
        <f>IF(B56&gt;0,Довідник!$B$5*2,0)</f>
        <v>10</v>
      </c>
      <c r="C57" s="360">
        <f>IF(C56&gt;0,Довідник!$B$5*2,0)</f>
        <v>10</v>
      </c>
      <c r="D57" s="360">
        <f>IF(D56&gt;0,Довідник!$B$5*2,0)</f>
        <v>10</v>
      </c>
      <c r="E57" s="360">
        <f>IF(E56&gt;0,Довідник!$B$5*2,0)</f>
        <v>10</v>
      </c>
      <c r="F57" s="360">
        <f>IF(F56&gt;0,Довідник!$B$5*2,0)</f>
        <v>10</v>
      </c>
      <c r="G57" s="360">
        <f>IF(G56&gt;0,Довідник!$B$5*2,0)</f>
        <v>10</v>
      </c>
      <c r="H57" s="360">
        <f>IF(H56&gt;0,Довідник!$B$5*2,0)</f>
        <v>10</v>
      </c>
      <c r="I57" s="360">
        <f>IF(I56&gt;0,Довідник!$B$5*2,0)</f>
        <v>10</v>
      </c>
      <c r="J57" s="360">
        <f>IF(J56&gt;0,Довідник!$B$5*2,0)</f>
        <v>10</v>
      </c>
      <c r="K57" s="360">
        <f>IF(K56&gt;0,Довідник!$B$5*2,0)</f>
        <v>10</v>
      </c>
      <c r="L57" s="360">
        <f>IF(L56&gt;0,Довідник!$B$5*2,0)</f>
        <v>10</v>
      </c>
      <c r="M57" s="360">
        <f>IF(M56&gt;0,Довідник!$B$5*2,0)</f>
        <v>10</v>
      </c>
      <c r="N57" s="361"/>
    </row>
    <row r="58" spans="1:14" ht="23.4" thickBot="1" x14ac:dyDescent="0.35">
      <c r="A58" s="150" t="s">
        <v>260</v>
      </c>
      <c r="B58" s="350">
        <f>B56*B57</f>
        <v>200</v>
      </c>
      <c r="C58" s="350">
        <f t="shared" ref="C58" si="56">C56*C57</f>
        <v>200</v>
      </c>
      <c r="D58" s="350">
        <f t="shared" ref="D58" si="57">D56*D57</f>
        <v>220</v>
      </c>
      <c r="E58" s="350">
        <f t="shared" ref="E58" si="58">E56*E57</f>
        <v>210</v>
      </c>
      <c r="F58" s="350">
        <f t="shared" ref="F58" si="59">F56*F57</f>
        <v>220</v>
      </c>
      <c r="G58" s="350">
        <f t="shared" ref="G58" si="60">G56*G57</f>
        <v>210</v>
      </c>
      <c r="H58" s="350">
        <f t="shared" ref="H58" si="61">H56*H57</f>
        <v>220</v>
      </c>
      <c r="I58" s="350">
        <f t="shared" ref="I58" si="62">I56*I57</f>
        <v>220</v>
      </c>
      <c r="J58" s="350">
        <f t="shared" ref="J58" si="63">J56*J57</f>
        <v>210</v>
      </c>
      <c r="K58" s="350">
        <f t="shared" ref="K58" si="64">K56*K57</f>
        <v>210</v>
      </c>
      <c r="L58" s="350">
        <f t="shared" ref="L58" si="65">L56*L57</f>
        <v>200</v>
      </c>
      <c r="M58" s="350">
        <f t="shared" ref="M58" si="66">M56*M57</f>
        <v>200</v>
      </c>
      <c r="N58" s="351">
        <f>SUM(B58:M58)</f>
        <v>2520</v>
      </c>
    </row>
    <row r="59" spans="1:14" x14ac:dyDescent="0.3">
      <c r="A59" s="495" t="str">
        <f>Довідник!A6</f>
        <v>Село 2</v>
      </c>
      <c r="B59" s="496"/>
      <c r="C59" s="496"/>
      <c r="D59" s="496"/>
      <c r="E59" s="496"/>
      <c r="F59" s="496"/>
      <c r="G59" s="496"/>
      <c r="H59" s="496"/>
      <c r="I59" s="496"/>
      <c r="J59" s="496"/>
      <c r="K59" s="496"/>
      <c r="L59" s="496"/>
      <c r="M59" s="496"/>
      <c r="N59" s="497"/>
    </row>
    <row r="60" spans="1:14" x14ac:dyDescent="0.3">
      <c r="A60" s="145" t="s">
        <v>258</v>
      </c>
      <c r="B60" s="360">
        <f>IF('Збір молока по селах'!B$111&gt;0,B$54,0)</f>
        <v>20</v>
      </c>
      <c r="C60" s="360">
        <f>IF('Збір молока по селах'!C$111&gt;0,C$54,0)</f>
        <v>20</v>
      </c>
      <c r="D60" s="360">
        <f>IF('Збір молока по селах'!D$111&gt;0,D$54,0)</f>
        <v>22</v>
      </c>
      <c r="E60" s="360">
        <f>IF('Збір молока по селах'!E$111&gt;0,E$54,0)</f>
        <v>21</v>
      </c>
      <c r="F60" s="360">
        <f>IF('Збір молока по селах'!F$111&gt;0,F$54,0)</f>
        <v>22</v>
      </c>
      <c r="G60" s="360">
        <f>IF('Збір молока по селах'!G$111&gt;0,G$54,0)</f>
        <v>21</v>
      </c>
      <c r="H60" s="360">
        <f>IF('Збір молока по селах'!H$111&gt;0,H$54,0)</f>
        <v>22</v>
      </c>
      <c r="I60" s="360">
        <f>IF('Збір молока по селах'!I$111&gt;0,I$54,0)</f>
        <v>22</v>
      </c>
      <c r="J60" s="360">
        <f>IF('Збір молока по селах'!J$111&gt;0,J$54,0)</f>
        <v>21</v>
      </c>
      <c r="K60" s="360">
        <f>IF('Збір молока по селах'!K$111&gt;0,K$54,0)</f>
        <v>21</v>
      </c>
      <c r="L60" s="360">
        <f>IF('Збір молока по селах'!L$111&gt;0,L$54,0)</f>
        <v>20</v>
      </c>
      <c r="M60" s="360">
        <f>IF('Збір молока по селах'!M$111&gt;0,M$54,0)</f>
        <v>20</v>
      </c>
      <c r="N60" s="361">
        <f t="shared" ref="N60" si="67">N54</f>
        <v>252</v>
      </c>
    </row>
    <row r="61" spans="1:14" ht="22.8" x14ac:dyDescent="0.3">
      <c r="A61" s="150" t="s">
        <v>259</v>
      </c>
      <c r="B61" s="360">
        <f>IF(B60&gt;0,Довідник!$B$6*2,0)</f>
        <v>4</v>
      </c>
      <c r="C61" s="360">
        <f>IF(C60&gt;0,Довідник!$B$6*2,0)</f>
        <v>4</v>
      </c>
      <c r="D61" s="360">
        <f>IF(D60&gt;0,Довідник!$B$6*2,0)</f>
        <v>4</v>
      </c>
      <c r="E61" s="360">
        <f>IF(E60&gt;0,Довідник!$B$6*2,0)</f>
        <v>4</v>
      </c>
      <c r="F61" s="360">
        <f>IF(F60&gt;0,Довідник!$B$6*2,0)</f>
        <v>4</v>
      </c>
      <c r="G61" s="360">
        <f>IF(G60&gt;0,Довідник!$B$6*2,0)</f>
        <v>4</v>
      </c>
      <c r="H61" s="360">
        <f>IF(H60&gt;0,Довідник!$B$6*2,0)</f>
        <v>4</v>
      </c>
      <c r="I61" s="360">
        <f>IF(I60&gt;0,Довідник!$B$6*2,0)</f>
        <v>4</v>
      </c>
      <c r="J61" s="360">
        <f>IF(J60&gt;0,Довідник!$B$6*2,0)</f>
        <v>4</v>
      </c>
      <c r="K61" s="360">
        <f>IF(K60&gt;0,Довідник!$B$6*2,0)</f>
        <v>4</v>
      </c>
      <c r="L61" s="360">
        <f>IF(L60&gt;0,Довідник!$B$6*2,0)</f>
        <v>4</v>
      </c>
      <c r="M61" s="360">
        <f>IF(M60&gt;0,Довідник!$B$6*2,0)</f>
        <v>4</v>
      </c>
      <c r="N61" s="361"/>
    </row>
    <row r="62" spans="1:14" ht="23.4" thickBot="1" x14ac:dyDescent="0.35">
      <c r="A62" s="171" t="s">
        <v>260</v>
      </c>
      <c r="B62" s="350">
        <f>B60*B61</f>
        <v>80</v>
      </c>
      <c r="C62" s="350">
        <f t="shared" ref="C62" si="68">C60*C61</f>
        <v>80</v>
      </c>
      <c r="D62" s="350">
        <f t="shared" ref="D62" si="69">D60*D61</f>
        <v>88</v>
      </c>
      <c r="E62" s="350">
        <f t="shared" ref="E62" si="70">E60*E61</f>
        <v>84</v>
      </c>
      <c r="F62" s="350">
        <f t="shared" ref="F62" si="71">F60*F61</f>
        <v>88</v>
      </c>
      <c r="G62" s="350">
        <f t="shared" ref="G62" si="72">G60*G61</f>
        <v>84</v>
      </c>
      <c r="H62" s="350">
        <f t="shared" ref="H62" si="73">H60*H61</f>
        <v>88</v>
      </c>
      <c r="I62" s="350">
        <f t="shared" ref="I62" si="74">I60*I61</f>
        <v>88</v>
      </c>
      <c r="J62" s="350">
        <f t="shared" ref="J62" si="75">J60*J61</f>
        <v>84</v>
      </c>
      <c r="K62" s="350">
        <f t="shared" ref="K62" si="76">K60*K61</f>
        <v>84</v>
      </c>
      <c r="L62" s="350">
        <f t="shared" ref="L62" si="77">L60*L61</f>
        <v>80</v>
      </c>
      <c r="M62" s="350">
        <f t="shared" ref="M62" si="78">M60*M61</f>
        <v>80</v>
      </c>
      <c r="N62" s="351">
        <f>SUM(B62:M62)</f>
        <v>1008</v>
      </c>
    </row>
    <row r="63" spans="1:14" x14ac:dyDescent="0.3">
      <c r="A63" s="495" t="str">
        <f>Довідник!A7</f>
        <v>Село 3</v>
      </c>
      <c r="B63" s="496"/>
      <c r="C63" s="496"/>
      <c r="D63" s="496"/>
      <c r="E63" s="496"/>
      <c r="F63" s="496"/>
      <c r="G63" s="496"/>
      <c r="H63" s="496"/>
      <c r="I63" s="496"/>
      <c r="J63" s="496"/>
      <c r="K63" s="496"/>
      <c r="L63" s="496"/>
      <c r="M63" s="496"/>
      <c r="N63" s="497"/>
    </row>
    <row r="64" spans="1:14" x14ac:dyDescent="0.3">
      <c r="A64" s="145" t="s">
        <v>258</v>
      </c>
      <c r="B64" s="360">
        <f>IF('Збір молока по селах'!B$121&gt;0,B$54,0)</f>
        <v>20</v>
      </c>
      <c r="C64" s="360">
        <f>IF('Збір молока по селах'!C$121&gt;0,C$54,0)</f>
        <v>20</v>
      </c>
      <c r="D64" s="360">
        <f>IF('Збір молока по селах'!D$121&gt;0,D$54,0)</f>
        <v>22</v>
      </c>
      <c r="E64" s="360">
        <f>IF('Збір молока по селах'!E$121&gt;0,E$54,0)</f>
        <v>21</v>
      </c>
      <c r="F64" s="360">
        <f>IF('Збір молока по селах'!F$121&gt;0,F$54,0)</f>
        <v>22</v>
      </c>
      <c r="G64" s="360">
        <f>IF('Збір молока по селах'!G$121&gt;0,G$54,0)</f>
        <v>21</v>
      </c>
      <c r="H64" s="360">
        <f>IF('Збір молока по селах'!H$121&gt;0,H$54,0)</f>
        <v>22</v>
      </c>
      <c r="I64" s="360">
        <f>IF('Збір молока по селах'!I$121&gt;0,I$54,0)</f>
        <v>22</v>
      </c>
      <c r="J64" s="360">
        <f>IF('Збір молока по селах'!J$121&gt;0,J$54,0)</f>
        <v>21</v>
      </c>
      <c r="K64" s="360">
        <f>IF('Збір молока по селах'!K$121&gt;0,K$54,0)</f>
        <v>21</v>
      </c>
      <c r="L64" s="360">
        <f>IF('Збір молока по селах'!L$121&gt;0,L$54,0)</f>
        <v>20</v>
      </c>
      <c r="M64" s="360">
        <f>IF('Збір молока по селах'!M$121&gt;0,M$54,0)</f>
        <v>20</v>
      </c>
      <c r="N64" s="361">
        <f t="shared" ref="N64" si="79">N54</f>
        <v>252</v>
      </c>
    </row>
    <row r="65" spans="1:14" ht="22.8" x14ac:dyDescent="0.3">
      <c r="A65" s="150" t="s">
        <v>259</v>
      </c>
      <c r="B65" s="360">
        <f>IF(B64&gt;0,Довідник!$B$7*2,0)</f>
        <v>6</v>
      </c>
      <c r="C65" s="360">
        <f>IF(C64&gt;0,Довідник!$B$7*2,0)</f>
        <v>6</v>
      </c>
      <c r="D65" s="360">
        <f>IF(D64&gt;0,Довідник!$B$7*2,0)</f>
        <v>6</v>
      </c>
      <c r="E65" s="360">
        <f>IF(E64&gt;0,Довідник!$B$7*2,0)</f>
        <v>6</v>
      </c>
      <c r="F65" s="360">
        <f>IF(F64&gt;0,Довідник!$B$7*2,0)</f>
        <v>6</v>
      </c>
      <c r="G65" s="360">
        <f>IF(G64&gt;0,Довідник!$B$7*2,0)</f>
        <v>6</v>
      </c>
      <c r="H65" s="360">
        <f>IF(H64&gt;0,Довідник!$B$7*2,0)</f>
        <v>6</v>
      </c>
      <c r="I65" s="360">
        <f>IF(I64&gt;0,Довідник!$B$7*2,0)</f>
        <v>6</v>
      </c>
      <c r="J65" s="360">
        <f>IF(J64&gt;0,Довідник!$B$7*2,0)</f>
        <v>6</v>
      </c>
      <c r="K65" s="360">
        <f>IF(K64&gt;0,Довідник!$B$7*2,0)</f>
        <v>6</v>
      </c>
      <c r="L65" s="360">
        <f>IF(L64&gt;0,Довідник!$B$7*2,0)</f>
        <v>6</v>
      </c>
      <c r="M65" s="360">
        <f>IF(M64&gt;0,Довідник!$B$7*2,0)</f>
        <v>6</v>
      </c>
      <c r="N65" s="361"/>
    </row>
    <row r="66" spans="1:14" ht="23.4" thickBot="1" x14ac:dyDescent="0.35">
      <c r="A66" s="171" t="s">
        <v>260</v>
      </c>
      <c r="B66" s="350">
        <f t="shared" ref="B66" si="80">B65*B64</f>
        <v>120</v>
      </c>
      <c r="C66" s="350">
        <f t="shared" ref="C66" si="81">C65*C64</f>
        <v>120</v>
      </c>
      <c r="D66" s="350">
        <f t="shared" ref="D66" si="82">D65*D64</f>
        <v>132</v>
      </c>
      <c r="E66" s="350">
        <f t="shared" ref="E66" si="83">E65*E64</f>
        <v>126</v>
      </c>
      <c r="F66" s="350">
        <f t="shared" ref="F66" si="84">F65*F64</f>
        <v>132</v>
      </c>
      <c r="G66" s="350">
        <f t="shared" ref="G66" si="85">G65*G64</f>
        <v>126</v>
      </c>
      <c r="H66" s="350">
        <f t="shared" ref="H66" si="86">H65*H64</f>
        <v>132</v>
      </c>
      <c r="I66" s="350">
        <f t="shared" ref="I66" si="87">I65*I64</f>
        <v>132</v>
      </c>
      <c r="J66" s="350">
        <f t="shared" ref="J66" si="88">J65*J64</f>
        <v>126</v>
      </c>
      <c r="K66" s="350">
        <f t="shared" ref="K66" si="89">K65*K64</f>
        <v>126</v>
      </c>
      <c r="L66" s="350">
        <f t="shared" ref="L66" si="90">L65*L64</f>
        <v>120</v>
      </c>
      <c r="M66" s="350">
        <f t="shared" ref="M66" si="91">M65*M64</f>
        <v>120</v>
      </c>
      <c r="N66" s="351">
        <f>SUM(B66:M66)</f>
        <v>1512</v>
      </c>
    </row>
    <row r="67" spans="1:14" x14ac:dyDescent="0.3">
      <c r="A67" s="495" t="str">
        <f>Довідник!A8</f>
        <v>Село 4</v>
      </c>
      <c r="B67" s="496"/>
      <c r="C67" s="496"/>
      <c r="D67" s="496"/>
      <c r="E67" s="496"/>
      <c r="F67" s="496"/>
      <c r="G67" s="496"/>
      <c r="H67" s="496"/>
      <c r="I67" s="496"/>
      <c r="J67" s="496"/>
      <c r="K67" s="496"/>
      <c r="L67" s="496"/>
      <c r="M67" s="496"/>
      <c r="N67" s="497"/>
    </row>
    <row r="68" spans="1:14" x14ac:dyDescent="0.3">
      <c r="A68" s="145" t="s">
        <v>258</v>
      </c>
      <c r="B68" s="360">
        <f>IF('Збір молока по селах'!B$131&gt;0,B$54,0)</f>
        <v>20</v>
      </c>
      <c r="C68" s="360">
        <f>IF('Збір молока по селах'!C$131&gt;0,C$54,0)</f>
        <v>20</v>
      </c>
      <c r="D68" s="360">
        <f>IF('Збір молока по селах'!D$131&gt;0,D$54,0)</f>
        <v>22</v>
      </c>
      <c r="E68" s="360">
        <f>IF('Збір молока по селах'!E$131&gt;0,E$54,0)</f>
        <v>21</v>
      </c>
      <c r="F68" s="360">
        <f>IF('Збір молока по селах'!F$131&gt;0,F$54,0)</f>
        <v>22</v>
      </c>
      <c r="G68" s="360">
        <f>IF('Збір молока по селах'!G$131&gt;0,G$54,0)</f>
        <v>21</v>
      </c>
      <c r="H68" s="360">
        <f>IF('Збір молока по селах'!H$131&gt;0,H$54,0)</f>
        <v>22</v>
      </c>
      <c r="I68" s="360">
        <f>IF('Збір молока по селах'!I$131&gt;0,I$54,0)</f>
        <v>22</v>
      </c>
      <c r="J68" s="360">
        <f>IF('Збір молока по селах'!J$131&gt;0,J$54,0)</f>
        <v>21</v>
      </c>
      <c r="K68" s="360">
        <f>IF('Збір молока по селах'!K$131&gt;0,K$54,0)</f>
        <v>21</v>
      </c>
      <c r="L68" s="360">
        <f>IF('Збір молока по селах'!L$131&gt;0,L$54,0)</f>
        <v>20</v>
      </c>
      <c r="M68" s="360">
        <f>IF('Збір молока по селах'!M$131&gt;0,M$54,0)</f>
        <v>20</v>
      </c>
      <c r="N68" s="361">
        <f>SUM(B68:M68)</f>
        <v>252</v>
      </c>
    </row>
    <row r="69" spans="1:14" ht="22.8" x14ac:dyDescent="0.3">
      <c r="A69" s="150" t="s">
        <v>259</v>
      </c>
      <c r="B69" s="360">
        <f>IF(B68&gt;0,Довідник!$B$8*2,0)</f>
        <v>16</v>
      </c>
      <c r="C69" s="360">
        <f>IF(C68&gt;0,Довідник!$B$8*2,0)</f>
        <v>16</v>
      </c>
      <c r="D69" s="360">
        <f>IF(D68&gt;0,Довідник!$B$8*2,0)</f>
        <v>16</v>
      </c>
      <c r="E69" s="360">
        <f>IF(E68&gt;0,Довідник!$B$8*2,0)</f>
        <v>16</v>
      </c>
      <c r="F69" s="360">
        <f>IF(F68&gt;0,Довідник!$B$8*2,0)</f>
        <v>16</v>
      </c>
      <c r="G69" s="360">
        <f>IF(G68&gt;0,Довідник!$B$8*2,0)</f>
        <v>16</v>
      </c>
      <c r="H69" s="360">
        <f>IF(H68&gt;0,Довідник!$B$8*2,0)</f>
        <v>16</v>
      </c>
      <c r="I69" s="360">
        <f>IF(I68&gt;0,Довідник!$B$8*2,0)</f>
        <v>16</v>
      </c>
      <c r="J69" s="360">
        <f>IF(J68&gt;0,Довідник!$B$8*2,0)</f>
        <v>16</v>
      </c>
      <c r="K69" s="360">
        <f>IF(K68&gt;0,Довідник!$B$8*2,0)</f>
        <v>16</v>
      </c>
      <c r="L69" s="360">
        <f>IF(L68&gt;0,Довідник!$B$8*2,0)</f>
        <v>16</v>
      </c>
      <c r="M69" s="360">
        <f>IF(M68&gt;0,Довідник!$B$8*2,0)</f>
        <v>16</v>
      </c>
      <c r="N69" s="361"/>
    </row>
    <row r="70" spans="1:14" ht="23.4" thickBot="1" x14ac:dyDescent="0.35">
      <c r="A70" s="171" t="s">
        <v>260</v>
      </c>
      <c r="B70" s="350">
        <f t="shared" ref="B70" si="92">B68*B69</f>
        <v>320</v>
      </c>
      <c r="C70" s="350">
        <f t="shared" ref="C70" si="93">C68*C69</f>
        <v>320</v>
      </c>
      <c r="D70" s="350">
        <f t="shared" ref="D70" si="94">D68*D69</f>
        <v>352</v>
      </c>
      <c r="E70" s="350">
        <f t="shared" ref="E70" si="95">E68*E69</f>
        <v>336</v>
      </c>
      <c r="F70" s="350">
        <f t="shared" ref="F70" si="96">F68*F69</f>
        <v>352</v>
      </c>
      <c r="G70" s="350">
        <f t="shared" ref="G70" si="97">G68*G69</f>
        <v>336</v>
      </c>
      <c r="H70" s="350">
        <f t="shared" ref="H70" si="98">H68*H69</f>
        <v>352</v>
      </c>
      <c r="I70" s="350">
        <f t="shared" ref="I70" si="99">I68*I69</f>
        <v>352</v>
      </c>
      <c r="J70" s="350">
        <f t="shared" ref="J70" si="100">J68*J69</f>
        <v>336</v>
      </c>
      <c r="K70" s="350">
        <f t="shared" ref="K70" si="101">K68*K69</f>
        <v>336</v>
      </c>
      <c r="L70" s="350">
        <f t="shared" ref="L70" si="102">L68*L69</f>
        <v>320</v>
      </c>
      <c r="M70" s="350">
        <f t="shared" ref="M70" si="103">M68*M69</f>
        <v>320</v>
      </c>
      <c r="N70" s="351">
        <f>SUM(B70:M70)</f>
        <v>4032</v>
      </c>
    </row>
    <row r="71" spans="1:14" ht="15" thickBot="1" x14ac:dyDescent="0.35">
      <c r="A71" s="367" t="str">
        <f>Довідник!$A$12</f>
        <v>Переїзди до ТМ</v>
      </c>
      <c r="B71" s="362">
        <f>IF(B$54&gt;0,Довідник!$B$12*2*B$54,0)</f>
        <v>1200</v>
      </c>
      <c r="C71" s="362">
        <f>IF(C$54&gt;0,Довідник!$B$12*2*C$54,0)</f>
        <v>1200</v>
      </c>
      <c r="D71" s="362">
        <f>IF(D$54&gt;0,Довідник!$B$12*2*D$54,0)</f>
        <v>1320</v>
      </c>
      <c r="E71" s="362">
        <f>IF(E$54&gt;0,Довідник!$B$12*2*E$54,0)</f>
        <v>1260</v>
      </c>
      <c r="F71" s="362">
        <f>IF(F$54&gt;0,Довідник!$B$12*2*F$54,0)</f>
        <v>1320</v>
      </c>
      <c r="G71" s="362">
        <f>IF(G$54&gt;0,Довідник!$B$12*2*G$54,0)</f>
        <v>1260</v>
      </c>
      <c r="H71" s="362">
        <f>IF(H$54&gt;0,Довідник!$B$12*2*H$54,0)</f>
        <v>1320</v>
      </c>
      <c r="I71" s="362">
        <f>IF(I$54&gt;0,Довідник!$B$12*2*I$54,0)</f>
        <v>1320</v>
      </c>
      <c r="J71" s="362">
        <f>IF(J$54&gt;0,Довідник!$B$12*2*J$54,0)</f>
        <v>1260</v>
      </c>
      <c r="K71" s="362">
        <f>IF(K$54&gt;0,Довідник!$B$12*2*K$54,0)</f>
        <v>1260</v>
      </c>
      <c r="L71" s="362">
        <f>IF(L$54&gt;0,Довідник!$B$12*2*L$54,0)</f>
        <v>1200</v>
      </c>
      <c r="M71" s="362">
        <f>IF(M$54&gt;0,Довідник!$B$12*2*M$54,0)</f>
        <v>1200</v>
      </c>
      <c r="N71" s="363">
        <f>SUM(B71:M71)</f>
        <v>15120</v>
      </c>
    </row>
    <row r="72" spans="1:14" ht="15" thickBot="1" x14ac:dyDescent="0.35">
      <c r="A72" s="367" t="str">
        <f>Довідник!$A$13</f>
        <v>Інші переїзди</v>
      </c>
      <c r="B72" s="364">
        <f>IF(B$54&gt;0,Довідник!$B$13*2*B$54,0)</f>
        <v>600</v>
      </c>
      <c r="C72" s="364">
        <f>IF(C$54&gt;0,Довідник!$B$13*2*C$54,0)</f>
        <v>600</v>
      </c>
      <c r="D72" s="364">
        <f>IF(D$54&gt;0,Довідник!$B$13*2*D$54,0)</f>
        <v>660</v>
      </c>
      <c r="E72" s="364">
        <f>IF(E$54&gt;0,Довідник!$B$13*2*E$54,0)</f>
        <v>630</v>
      </c>
      <c r="F72" s="364">
        <f>IF(F$54&gt;0,Довідник!$B$13*2*F$54,0)</f>
        <v>660</v>
      </c>
      <c r="G72" s="364">
        <f>IF(G$54&gt;0,Довідник!$B$13*2*G$54,0)</f>
        <v>630</v>
      </c>
      <c r="H72" s="364">
        <f>IF(H$54&gt;0,Довідник!$B$13*2*H$54,0)</f>
        <v>660</v>
      </c>
      <c r="I72" s="364">
        <f>IF(I$54&gt;0,Довідник!$B$13*2*I$54,0)</f>
        <v>660</v>
      </c>
      <c r="J72" s="364">
        <f>IF(J$54&gt;0,Довідник!$B$13*2*J$54,0)</f>
        <v>630</v>
      </c>
      <c r="K72" s="364">
        <f>IF(K$54&gt;0,Довідник!$B$13*2*K$54,0)</f>
        <v>630</v>
      </c>
      <c r="L72" s="364">
        <f>IF(L$54&gt;0,Довідник!$B$13*2*L$54,0)</f>
        <v>600</v>
      </c>
      <c r="M72" s="364">
        <f>IF(M$54&gt;0,Довідник!$B$13*2*M$54,0)</f>
        <v>600</v>
      </c>
      <c r="N72" s="309">
        <f>SUM(B72:M72)</f>
        <v>7560</v>
      </c>
    </row>
    <row r="73" spans="1:14" ht="29.4" thickBot="1" x14ac:dyDescent="0.35">
      <c r="A73" s="262" t="s">
        <v>261</v>
      </c>
      <c r="B73" s="365">
        <f>B58+B62+B66+B70+B71+B72</f>
        <v>2520</v>
      </c>
      <c r="C73" s="365">
        <f t="shared" ref="C73:N73" si="104">C58+C62+C66+C70+C71+C72</f>
        <v>2520</v>
      </c>
      <c r="D73" s="365">
        <f t="shared" si="104"/>
        <v>2772</v>
      </c>
      <c r="E73" s="365">
        <f t="shared" si="104"/>
        <v>2646</v>
      </c>
      <c r="F73" s="365">
        <f t="shared" si="104"/>
        <v>2772</v>
      </c>
      <c r="G73" s="365">
        <f t="shared" si="104"/>
        <v>2646</v>
      </c>
      <c r="H73" s="365">
        <f t="shared" si="104"/>
        <v>2772</v>
      </c>
      <c r="I73" s="365">
        <f t="shared" si="104"/>
        <v>2772</v>
      </c>
      <c r="J73" s="365">
        <f t="shared" si="104"/>
        <v>2646</v>
      </c>
      <c r="K73" s="365">
        <f t="shared" si="104"/>
        <v>2646</v>
      </c>
      <c r="L73" s="365">
        <f t="shared" si="104"/>
        <v>2520</v>
      </c>
      <c r="M73" s="365">
        <f t="shared" si="104"/>
        <v>2520</v>
      </c>
      <c r="N73" s="366">
        <f t="shared" si="104"/>
        <v>31752</v>
      </c>
    </row>
  </sheetData>
  <sheetProtection algorithmName="SHA-512" hashValue="4AOXhyfNETlnimePWNvHkfE/jRVqTQK02oFyoHF+1ixLJBiM/+1ZwGRv9Pd450cuJoiVaFVM9oJCZYEv8cjRpA==" saltValue="TWMeii9ZNCVt2mleshoH+Q==" spinCount="100000" sheet="1" objects="1" scenarios="1"/>
  <mergeCells count="27">
    <mergeCell ref="A9:N9"/>
    <mergeCell ref="Q7:V12"/>
    <mergeCell ref="A1:N1"/>
    <mergeCell ref="A2:A3"/>
    <mergeCell ref="B2:M2"/>
    <mergeCell ref="N2:N3"/>
    <mergeCell ref="A5:N5"/>
    <mergeCell ref="Q2:R2"/>
    <mergeCell ref="Q3:V5"/>
    <mergeCell ref="A67:N67"/>
    <mergeCell ref="A52:A53"/>
    <mergeCell ref="B52:M52"/>
    <mergeCell ref="N52:N53"/>
    <mergeCell ref="A55:N55"/>
    <mergeCell ref="A59:N59"/>
    <mergeCell ref="A63:N63"/>
    <mergeCell ref="A38:N38"/>
    <mergeCell ref="A30:N30"/>
    <mergeCell ref="A42:N42"/>
    <mergeCell ref="A51:N51"/>
    <mergeCell ref="A13:N13"/>
    <mergeCell ref="A17:N17"/>
    <mergeCell ref="A26:N26"/>
    <mergeCell ref="A27:A28"/>
    <mergeCell ref="B27:M27"/>
    <mergeCell ref="N27:N28"/>
    <mergeCell ref="A34:N34"/>
  </mergeCells>
  <pageMargins left="0.7" right="0.7" top="0.75" bottom="0.75" header="0.3" footer="0.3"/>
  <pageSetup paperSize="0" orientation="portrait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D465A-6DB3-4614-BE5A-3746DCD98A20}">
  <sheetPr>
    <tabColor rgb="FF00B0F0"/>
  </sheetPr>
  <dimension ref="A1:V37"/>
  <sheetViews>
    <sheetView workbookViewId="0">
      <selection activeCell="Q8" sqref="Q8"/>
    </sheetView>
  </sheetViews>
  <sheetFormatPr defaultColWidth="8.88671875" defaultRowHeight="14.4" x14ac:dyDescent="0.3"/>
  <cols>
    <col min="1" max="1" width="15.88671875" style="225" customWidth="1"/>
    <col min="2" max="16384" width="8.88671875" style="225"/>
  </cols>
  <sheetData>
    <row r="1" spans="1:22" ht="15" thickBot="1" x14ac:dyDescent="0.35">
      <c r="A1" s="486" t="s">
        <v>262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</row>
    <row r="2" spans="1:22" x14ac:dyDescent="0.3">
      <c r="A2" s="505" t="s">
        <v>32</v>
      </c>
      <c r="B2" s="489" t="s">
        <v>33</v>
      </c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1"/>
      <c r="N2" s="492" t="s">
        <v>209</v>
      </c>
      <c r="Q2" s="481" t="s">
        <v>127</v>
      </c>
      <c r="R2" s="481"/>
      <c r="S2" s="426"/>
      <c r="T2" s="426"/>
      <c r="U2" s="426"/>
      <c r="V2" s="426"/>
    </row>
    <row r="3" spans="1:22" ht="15" customHeight="1" thickBot="1" x14ac:dyDescent="0.35">
      <c r="A3" s="511"/>
      <c r="B3" s="249" t="s">
        <v>34</v>
      </c>
      <c r="C3" s="266" t="s">
        <v>35</v>
      </c>
      <c r="D3" s="266" t="s">
        <v>36</v>
      </c>
      <c r="E3" s="266" t="s">
        <v>37</v>
      </c>
      <c r="F3" s="266" t="s">
        <v>38</v>
      </c>
      <c r="G3" s="266" t="s">
        <v>39</v>
      </c>
      <c r="H3" s="266" t="s">
        <v>40</v>
      </c>
      <c r="I3" s="266" t="s">
        <v>41</v>
      </c>
      <c r="J3" s="266" t="s">
        <v>42</v>
      </c>
      <c r="K3" s="266" t="s">
        <v>43</v>
      </c>
      <c r="L3" s="266" t="s">
        <v>44</v>
      </c>
      <c r="M3" s="266" t="s">
        <v>45</v>
      </c>
      <c r="N3" s="493"/>
      <c r="Q3" s="499" t="s">
        <v>231</v>
      </c>
      <c r="R3" s="499"/>
      <c r="S3" s="499"/>
      <c r="T3" s="499"/>
      <c r="U3" s="499"/>
      <c r="V3" s="499"/>
    </row>
    <row r="4" spans="1:22" ht="34.200000000000003" x14ac:dyDescent="0.3">
      <c r="A4" s="164" t="s">
        <v>263</v>
      </c>
      <c r="B4" s="347">
        <f>Відстань!B23-Відстань!B21-Відстань!B22</f>
        <v>280</v>
      </c>
      <c r="C4" s="347">
        <f>Відстань!C23-Відстань!C21-Відстань!C22</f>
        <v>280</v>
      </c>
      <c r="D4" s="347">
        <f>Відстань!D23-Відстань!D21-Відстань!D22</f>
        <v>308</v>
      </c>
      <c r="E4" s="347">
        <f>Відстань!E23-Відстань!E21-Відстань!E22</f>
        <v>294</v>
      </c>
      <c r="F4" s="347">
        <f>Відстань!F23-Відстань!F21-Відстань!F22</f>
        <v>308</v>
      </c>
      <c r="G4" s="347">
        <f>Відстань!G23-Відстань!G21-Відстань!G22</f>
        <v>294</v>
      </c>
      <c r="H4" s="347">
        <f>Відстань!H23-Відстань!H21-Відстань!H22</f>
        <v>440</v>
      </c>
      <c r="I4" s="347">
        <f>Відстань!I23-Відстань!I21-Відстань!I22</f>
        <v>440</v>
      </c>
      <c r="J4" s="347">
        <f>Відстань!J23-Відстань!J21-Відстань!J22</f>
        <v>756</v>
      </c>
      <c r="K4" s="347">
        <f>Відстань!K23-Відстань!K21-Відстань!K22</f>
        <v>756</v>
      </c>
      <c r="L4" s="347">
        <f>Відстань!L23-Відстань!L21-Відстань!L22</f>
        <v>720</v>
      </c>
      <c r="M4" s="347">
        <f>Відстань!M23-Відстань!M21-Відстань!M22</f>
        <v>720</v>
      </c>
      <c r="N4" s="348">
        <f>SUM(B4:M4)</f>
        <v>5596</v>
      </c>
      <c r="Q4" s="499"/>
      <c r="R4" s="499"/>
      <c r="S4" s="499"/>
      <c r="T4" s="499"/>
      <c r="U4" s="499"/>
      <c r="V4" s="499"/>
    </row>
    <row r="5" spans="1:22" ht="34.799999999999997" thickBot="1" x14ac:dyDescent="0.35">
      <c r="A5" s="349" t="s">
        <v>264</v>
      </c>
      <c r="B5" s="350">
        <f>B$4/100*Довідник!$C$17*Довідник!B$38</f>
        <v>2038.3999999999999</v>
      </c>
      <c r="C5" s="350">
        <f>C$4/100*Довідник!$C$17*Довідник!C$38</f>
        <v>2038.3999999999999</v>
      </c>
      <c r="D5" s="350">
        <f>D$4/100*Довідник!$C$17*Довідник!D$38</f>
        <v>2156</v>
      </c>
      <c r="E5" s="350">
        <f>E$4/100*Довідник!$C$17*Довідник!E$38</f>
        <v>2099.16</v>
      </c>
      <c r="F5" s="350">
        <f>F$4/100*Довідник!$C$17*Довідник!F$38</f>
        <v>2242.2400000000002</v>
      </c>
      <c r="G5" s="350">
        <f>G$4/100*Довідник!$C$17*Довідник!G$38</f>
        <v>2181.48</v>
      </c>
      <c r="H5" s="350">
        <f>H$4/100*Довідник!$C$17*Довідник!H$38</f>
        <v>3326.4000000000005</v>
      </c>
      <c r="I5" s="350">
        <f>I$4/100*Довідник!$C$17*Довідник!I$38</f>
        <v>3326.4000000000005</v>
      </c>
      <c r="J5" s="350">
        <f>J$4/100*Довідник!$C$17*Довідник!J$38</f>
        <v>5927.0399999999991</v>
      </c>
      <c r="K5" s="350">
        <f>K$4/100*Довідник!$C$17*Довідник!K$38</f>
        <v>5821.2</v>
      </c>
      <c r="L5" s="350">
        <f>L$4/100*Довідник!$C$17*Довідник!L$38</f>
        <v>5544</v>
      </c>
      <c r="M5" s="350">
        <f>M$4/100*Довідник!$C$17*Довідник!M$38</f>
        <v>5443.2</v>
      </c>
      <c r="N5" s="351">
        <f t="shared" ref="N5:N10" si="0">SUM(B5:M5)</f>
        <v>42143.92</v>
      </c>
      <c r="Q5" s="512" t="s">
        <v>394</v>
      </c>
      <c r="R5" s="512"/>
      <c r="S5" s="512"/>
      <c r="T5" s="512"/>
      <c r="U5" s="512"/>
      <c r="V5" s="512"/>
    </row>
    <row r="6" spans="1:22" ht="34.200000000000003" x14ac:dyDescent="0.3">
      <c r="A6" s="164" t="s">
        <v>265</v>
      </c>
      <c r="B6" s="347">
        <f>Відстань!B21</f>
        <v>1200</v>
      </c>
      <c r="C6" s="347">
        <f>Відстань!C21</f>
        <v>1200</v>
      </c>
      <c r="D6" s="347">
        <f>Відстань!D21</f>
        <v>1320</v>
      </c>
      <c r="E6" s="347">
        <f>Відстань!E21</f>
        <v>1260</v>
      </c>
      <c r="F6" s="347">
        <f>Відстань!F21</f>
        <v>1320</v>
      </c>
      <c r="G6" s="347">
        <f>Відстань!G21</f>
        <v>1260</v>
      </c>
      <c r="H6" s="347">
        <f>Відстань!H21</f>
        <v>1320</v>
      </c>
      <c r="I6" s="347">
        <f>Відстань!I21</f>
        <v>1320</v>
      </c>
      <c r="J6" s="347">
        <f>Відстань!J21</f>
        <v>1260</v>
      </c>
      <c r="K6" s="347">
        <f>Відстань!K21</f>
        <v>1260</v>
      </c>
      <c r="L6" s="347">
        <f>Відстань!L21</f>
        <v>1200</v>
      </c>
      <c r="M6" s="347">
        <f>Відстань!M21</f>
        <v>1200</v>
      </c>
      <c r="N6" s="348">
        <f t="shared" si="0"/>
        <v>15120</v>
      </c>
      <c r="Q6" s="512"/>
      <c r="R6" s="512"/>
      <c r="S6" s="512"/>
      <c r="T6" s="512"/>
      <c r="U6" s="512"/>
      <c r="V6" s="512"/>
    </row>
    <row r="7" spans="1:22" ht="34.799999999999997" thickBot="1" x14ac:dyDescent="0.35">
      <c r="A7" s="171" t="s">
        <v>266</v>
      </c>
      <c r="B7" s="350">
        <f>B$6/100*Довідник!$C$18*Довідник!B$42</f>
        <v>7776</v>
      </c>
      <c r="C7" s="350">
        <f>C$6/100*Довідник!$C$18*Довідник!C$42</f>
        <v>7776</v>
      </c>
      <c r="D7" s="350">
        <f>D$6/100*Довідник!$C$18*Довідник!D$42</f>
        <v>8553.5999999999985</v>
      </c>
      <c r="E7" s="350">
        <f>E$6/100*Довідник!$C$18*Довідник!E$42</f>
        <v>8164.7999999999993</v>
      </c>
      <c r="F7" s="350">
        <f>F$6/100*Довідник!$C$18*Довідник!F$42</f>
        <v>8553.5999999999985</v>
      </c>
      <c r="G7" s="350">
        <f>G$6/100*Довідник!$C$18*Довідник!G$42</f>
        <v>8164.7999999999993</v>
      </c>
      <c r="H7" s="350">
        <f>H$6/100*Довідник!$C$18*Довідник!H$42</f>
        <v>8553.5999999999985</v>
      </c>
      <c r="I7" s="350">
        <f>I$6/100*Довідник!$C$18*Довідник!I$42</f>
        <v>8553.5999999999985</v>
      </c>
      <c r="J7" s="350">
        <f>J$6/100*Довідник!$C$18*Довідник!J$42</f>
        <v>8164.7999999999993</v>
      </c>
      <c r="K7" s="350">
        <f>K$6/100*Довідник!$C$18*Довідник!K$42</f>
        <v>8164.7999999999993</v>
      </c>
      <c r="L7" s="350">
        <f>L$6/100*Довідник!$C$18*Довідник!L$42</f>
        <v>7776</v>
      </c>
      <c r="M7" s="350">
        <f>M$6/100*Довідник!$C$18*Довідник!M$42</f>
        <v>7776</v>
      </c>
      <c r="N7" s="351">
        <f t="shared" si="0"/>
        <v>97977.600000000006</v>
      </c>
      <c r="Q7" s="512"/>
      <c r="R7" s="512"/>
      <c r="S7" s="512"/>
      <c r="T7" s="512"/>
      <c r="U7" s="512"/>
      <c r="V7" s="512"/>
    </row>
    <row r="8" spans="1:22" ht="34.200000000000003" x14ac:dyDescent="0.3">
      <c r="A8" s="164" t="s">
        <v>267</v>
      </c>
      <c r="B8" s="347">
        <f>Відстань!B22</f>
        <v>600</v>
      </c>
      <c r="C8" s="347">
        <f>Відстань!C22</f>
        <v>600</v>
      </c>
      <c r="D8" s="347">
        <f>Відстань!D22</f>
        <v>660</v>
      </c>
      <c r="E8" s="347">
        <f>Відстань!E22</f>
        <v>630</v>
      </c>
      <c r="F8" s="347">
        <f>Відстань!F22</f>
        <v>660</v>
      </c>
      <c r="G8" s="347">
        <f>Відстань!G22</f>
        <v>630</v>
      </c>
      <c r="H8" s="347">
        <f>Відстань!H22</f>
        <v>660</v>
      </c>
      <c r="I8" s="347">
        <f>Відстань!I22</f>
        <v>660</v>
      </c>
      <c r="J8" s="347">
        <f>Відстань!J22</f>
        <v>630</v>
      </c>
      <c r="K8" s="347">
        <f>Відстань!K22</f>
        <v>630</v>
      </c>
      <c r="L8" s="347">
        <f>Відстань!L22</f>
        <v>600</v>
      </c>
      <c r="M8" s="347">
        <f>Відстань!M22</f>
        <v>600</v>
      </c>
      <c r="N8" s="348">
        <f t="shared" si="0"/>
        <v>7560</v>
      </c>
    </row>
    <row r="9" spans="1:22" ht="34.799999999999997" thickBot="1" x14ac:dyDescent="0.35">
      <c r="A9" s="349" t="s">
        <v>268</v>
      </c>
      <c r="B9" s="350">
        <f>B8/100*Довідник!$C$19*Довідник!B$46</f>
        <v>1740</v>
      </c>
      <c r="C9" s="350">
        <f>C8/100*Довідник!$C$19*Довідник!C$46</f>
        <v>1740</v>
      </c>
      <c r="D9" s="350">
        <f>D8/100*Довідник!$C$19*Довідник!D$46</f>
        <v>1914</v>
      </c>
      <c r="E9" s="350">
        <f>E8/100*Довідник!$C$19*Довідник!E$46</f>
        <v>1827</v>
      </c>
      <c r="F9" s="350">
        <f>F8/100*Довідник!$C$19*Довідник!F$46</f>
        <v>1914</v>
      </c>
      <c r="G9" s="350">
        <f>G8/100*Довідник!$C$19*Довідник!G$46</f>
        <v>1827</v>
      </c>
      <c r="H9" s="350">
        <f>H8/100*Довідник!$C$19*Довідник!H$46</f>
        <v>1914</v>
      </c>
      <c r="I9" s="350">
        <f>I8/100*Довідник!$C$19*Довідник!I$46</f>
        <v>1914</v>
      </c>
      <c r="J9" s="350">
        <f>J8/100*Довідник!$C$19*Довідник!J$46</f>
        <v>1827</v>
      </c>
      <c r="K9" s="350">
        <f>K8/100*Довідник!$C$19*Довідник!K$46</f>
        <v>1827</v>
      </c>
      <c r="L9" s="350">
        <f>L8/100*Довідник!$C$19*Довідник!L$46</f>
        <v>1740</v>
      </c>
      <c r="M9" s="350">
        <f>M8/100*Довідник!$C$19*Довідник!M$46</f>
        <v>1740</v>
      </c>
      <c r="N9" s="351">
        <f t="shared" si="0"/>
        <v>21924</v>
      </c>
    </row>
    <row r="10" spans="1:22" ht="24" x14ac:dyDescent="0.3">
      <c r="A10" s="352" t="s">
        <v>269</v>
      </c>
      <c r="B10" s="353">
        <f>B4+B6+B8</f>
        <v>2080</v>
      </c>
      <c r="C10" s="353">
        <f t="shared" ref="C10:M10" si="1">C4+C6+C8</f>
        <v>2080</v>
      </c>
      <c r="D10" s="353">
        <f t="shared" si="1"/>
        <v>2288</v>
      </c>
      <c r="E10" s="353">
        <f t="shared" si="1"/>
        <v>2184</v>
      </c>
      <c r="F10" s="353">
        <f t="shared" si="1"/>
        <v>2288</v>
      </c>
      <c r="G10" s="353">
        <f t="shared" si="1"/>
        <v>2184</v>
      </c>
      <c r="H10" s="353">
        <f t="shared" si="1"/>
        <v>2420</v>
      </c>
      <c r="I10" s="353">
        <f t="shared" si="1"/>
        <v>2420</v>
      </c>
      <c r="J10" s="353">
        <f t="shared" si="1"/>
        <v>2646</v>
      </c>
      <c r="K10" s="353">
        <f t="shared" si="1"/>
        <v>2646</v>
      </c>
      <c r="L10" s="353">
        <f t="shared" si="1"/>
        <v>2520</v>
      </c>
      <c r="M10" s="353">
        <f t="shared" si="1"/>
        <v>2520</v>
      </c>
      <c r="N10" s="354">
        <f t="shared" si="0"/>
        <v>28276</v>
      </c>
    </row>
    <row r="11" spans="1:22" ht="24.6" thickBot="1" x14ac:dyDescent="0.35">
      <c r="A11" s="355" t="s">
        <v>270</v>
      </c>
      <c r="B11" s="356">
        <f>B5+B7+B9</f>
        <v>11554.4</v>
      </c>
      <c r="C11" s="356">
        <f t="shared" ref="C11:N11" si="2">C5+C7+C9</f>
        <v>11554.4</v>
      </c>
      <c r="D11" s="356">
        <f t="shared" si="2"/>
        <v>12623.599999999999</v>
      </c>
      <c r="E11" s="356">
        <f t="shared" si="2"/>
        <v>12090.96</v>
      </c>
      <c r="F11" s="356">
        <f t="shared" si="2"/>
        <v>12709.839999999998</v>
      </c>
      <c r="G11" s="356">
        <f t="shared" si="2"/>
        <v>12173.279999999999</v>
      </c>
      <c r="H11" s="356">
        <f t="shared" si="2"/>
        <v>13794</v>
      </c>
      <c r="I11" s="356">
        <f t="shared" si="2"/>
        <v>13794</v>
      </c>
      <c r="J11" s="356">
        <f t="shared" si="2"/>
        <v>15918.839999999998</v>
      </c>
      <c r="K11" s="356">
        <f t="shared" si="2"/>
        <v>15813</v>
      </c>
      <c r="L11" s="356">
        <f t="shared" si="2"/>
        <v>15060</v>
      </c>
      <c r="M11" s="356">
        <f t="shared" si="2"/>
        <v>14959.2</v>
      </c>
      <c r="N11" s="357">
        <f t="shared" si="2"/>
        <v>162045.52000000002</v>
      </c>
    </row>
    <row r="14" spans="1:22" ht="15" customHeight="1" thickBot="1" x14ac:dyDescent="0.35">
      <c r="A14" s="486" t="s">
        <v>262</v>
      </c>
      <c r="B14" s="486"/>
      <c r="C14" s="486"/>
      <c r="D14" s="486"/>
      <c r="E14" s="486"/>
      <c r="F14" s="486"/>
      <c r="G14" s="486"/>
      <c r="H14" s="486"/>
      <c r="I14" s="486"/>
      <c r="J14" s="486"/>
      <c r="K14" s="486"/>
      <c r="L14" s="486"/>
      <c r="M14" s="486"/>
      <c r="N14" s="486"/>
    </row>
    <row r="15" spans="1:22" x14ac:dyDescent="0.3">
      <c r="A15" s="505" t="s">
        <v>32</v>
      </c>
      <c r="B15" s="489" t="s">
        <v>33</v>
      </c>
      <c r="C15" s="490"/>
      <c r="D15" s="490"/>
      <c r="E15" s="490"/>
      <c r="F15" s="490"/>
      <c r="G15" s="490"/>
      <c r="H15" s="490"/>
      <c r="I15" s="490"/>
      <c r="J15" s="490"/>
      <c r="K15" s="490"/>
      <c r="L15" s="490"/>
      <c r="M15" s="491"/>
      <c r="N15" s="492" t="s">
        <v>209</v>
      </c>
    </row>
    <row r="16" spans="1:22" ht="15" thickBot="1" x14ac:dyDescent="0.35">
      <c r="A16" s="511"/>
      <c r="B16" s="249" t="s">
        <v>34</v>
      </c>
      <c r="C16" s="266" t="s">
        <v>35</v>
      </c>
      <c r="D16" s="266" t="s">
        <v>36</v>
      </c>
      <c r="E16" s="266" t="s">
        <v>37</v>
      </c>
      <c r="F16" s="266" t="s">
        <v>38</v>
      </c>
      <c r="G16" s="266" t="s">
        <v>39</v>
      </c>
      <c r="H16" s="266" t="s">
        <v>40</v>
      </c>
      <c r="I16" s="266" t="s">
        <v>41</v>
      </c>
      <c r="J16" s="266" t="s">
        <v>42</v>
      </c>
      <c r="K16" s="266" t="s">
        <v>43</v>
      </c>
      <c r="L16" s="266" t="s">
        <v>44</v>
      </c>
      <c r="M16" s="266" t="s">
        <v>45</v>
      </c>
      <c r="N16" s="493"/>
    </row>
    <row r="17" spans="1:14" ht="34.200000000000003" x14ac:dyDescent="0.3">
      <c r="A17" s="164" t="s">
        <v>263</v>
      </c>
      <c r="B17" s="347">
        <f>Відстань!B48-Відстань!B46-Відстань!B47</f>
        <v>720</v>
      </c>
      <c r="C17" s="347">
        <f>Відстань!C48-Відстань!C46-Відстань!C47</f>
        <v>720</v>
      </c>
      <c r="D17" s="347">
        <f>Відстань!D48-Відстань!D46-Відстань!D47</f>
        <v>792</v>
      </c>
      <c r="E17" s="347">
        <f>Відстань!E48-Відстань!E46-Відстань!E47</f>
        <v>756</v>
      </c>
      <c r="F17" s="347">
        <f>Відстань!F48-Відстань!F46-Відстань!F47</f>
        <v>792</v>
      </c>
      <c r="G17" s="347">
        <f>Відстань!G48-Відстань!G46-Відстань!G47</f>
        <v>756</v>
      </c>
      <c r="H17" s="347">
        <f>Відстань!H48-Відстань!H46-Відстань!H47</f>
        <v>792</v>
      </c>
      <c r="I17" s="347">
        <f>Відстань!I48-Відстань!I46-Відстань!I47</f>
        <v>792</v>
      </c>
      <c r="J17" s="347">
        <f>Відстань!J48-Відстань!J46-Відстань!J47</f>
        <v>756</v>
      </c>
      <c r="K17" s="347">
        <f>Відстань!K48-Відстань!K46-Відстань!K47</f>
        <v>756</v>
      </c>
      <c r="L17" s="347">
        <f>Відстань!L48-Відстань!L46-Відстань!L47</f>
        <v>720</v>
      </c>
      <c r="M17" s="347">
        <f>Відстань!M48-Відстань!M46-Відстань!M47</f>
        <v>720</v>
      </c>
      <c r="N17" s="348">
        <f>SUM(B17:M17)</f>
        <v>9072</v>
      </c>
    </row>
    <row r="18" spans="1:14" ht="34.799999999999997" thickBot="1" x14ac:dyDescent="0.35">
      <c r="A18" s="349" t="s">
        <v>264</v>
      </c>
      <c r="B18" s="350">
        <f>B$17/100*Довідник!$C$17*Довідник!B$39</f>
        <v>5443.2</v>
      </c>
      <c r="C18" s="350">
        <f>C$17/100*Довідник!$C$17*Довідник!C$39</f>
        <v>5544</v>
      </c>
      <c r="D18" s="350">
        <f>D$17/100*Довідник!$C$17*Довідник!D$39</f>
        <v>6098.4</v>
      </c>
      <c r="E18" s="350">
        <f>E$17/100*Довідник!$C$17*Довідник!E$39</f>
        <v>5821.2</v>
      </c>
      <c r="F18" s="350">
        <f>F$17/100*Довідник!$C$17*Довідник!F$39</f>
        <v>6209.28</v>
      </c>
      <c r="G18" s="350">
        <f>G$17/100*Довідник!$C$17*Довідник!G$39</f>
        <v>5927.0399999999991</v>
      </c>
      <c r="H18" s="350">
        <f>H$17/100*Довідник!$C$17*Довідник!H$39</f>
        <v>6209.28</v>
      </c>
      <c r="I18" s="350">
        <f>I$17/100*Довідник!$C$17*Довідник!I$39</f>
        <v>6209.28</v>
      </c>
      <c r="J18" s="350">
        <f>J$17/100*Довідник!$C$17*Довідник!J$39</f>
        <v>5927.0399999999991</v>
      </c>
      <c r="K18" s="350">
        <f>K$17/100*Довідник!$C$17*Довідник!K$39</f>
        <v>5927.0399999999991</v>
      </c>
      <c r="L18" s="350">
        <f>L$17/100*Довідник!$C$17*Довідник!L$39</f>
        <v>5644.8</v>
      </c>
      <c r="M18" s="350">
        <f>M$17/100*Довідник!$C$17*Довідник!M$39</f>
        <v>5644.8</v>
      </c>
      <c r="N18" s="351">
        <f t="shared" ref="N18:N23" si="3">SUM(B18:M18)</f>
        <v>70605.36</v>
      </c>
    </row>
    <row r="19" spans="1:14" ht="34.200000000000003" x14ac:dyDescent="0.3">
      <c r="A19" s="164" t="s">
        <v>265</v>
      </c>
      <c r="B19" s="347">
        <f>Відстань!B46</f>
        <v>1200</v>
      </c>
      <c r="C19" s="347">
        <f>Відстань!C46</f>
        <v>1200</v>
      </c>
      <c r="D19" s="347">
        <f>Відстань!D46</f>
        <v>1320</v>
      </c>
      <c r="E19" s="347">
        <f>Відстань!E46</f>
        <v>1260</v>
      </c>
      <c r="F19" s="347">
        <f>Відстань!F46</f>
        <v>1320</v>
      </c>
      <c r="G19" s="347">
        <f>Відстань!G46</f>
        <v>1260</v>
      </c>
      <c r="H19" s="347">
        <f>Відстань!H46</f>
        <v>1320</v>
      </c>
      <c r="I19" s="347">
        <f>Відстань!I46</f>
        <v>1320</v>
      </c>
      <c r="J19" s="347">
        <f>Відстань!J46</f>
        <v>1260</v>
      </c>
      <c r="K19" s="347">
        <f>Відстань!K46</f>
        <v>1260</v>
      </c>
      <c r="L19" s="347">
        <f>Відстань!L46</f>
        <v>1200</v>
      </c>
      <c r="M19" s="347">
        <f>Відстань!M46</f>
        <v>1200</v>
      </c>
      <c r="N19" s="348">
        <f t="shared" si="3"/>
        <v>15120</v>
      </c>
    </row>
    <row r="20" spans="1:14" ht="34.799999999999997" thickBot="1" x14ac:dyDescent="0.35">
      <c r="A20" s="171" t="s">
        <v>266</v>
      </c>
      <c r="B20" s="350">
        <f>B$19/100*Довідник!$C$18*Довідник!B$43</f>
        <v>7920</v>
      </c>
      <c r="C20" s="350">
        <f>C$19/100*Довідник!$C$18*Довідник!C$43</f>
        <v>7920</v>
      </c>
      <c r="D20" s="350">
        <f>D$19/100*Довідник!$C$18*Довідник!D$43</f>
        <v>8711.9999999999982</v>
      </c>
      <c r="E20" s="350">
        <f>E$19/100*Довідник!$C$18*Довідник!E$43</f>
        <v>8316</v>
      </c>
      <c r="F20" s="350">
        <f>F$19/100*Довідник!$C$18*Довідник!F$43</f>
        <v>8711.9999999999982</v>
      </c>
      <c r="G20" s="350">
        <f>G$19/100*Довідник!$C$18*Довідник!G$43</f>
        <v>8316</v>
      </c>
      <c r="H20" s="350">
        <f>H$19/100*Довідник!$C$18*Довідник!H$43</f>
        <v>8711.9999999999982</v>
      </c>
      <c r="I20" s="350">
        <f>I$19/100*Довідник!$C$18*Довідник!I$43</f>
        <v>8711.9999999999982</v>
      </c>
      <c r="J20" s="350">
        <f>J$19/100*Довідник!$C$18*Довідник!J$43</f>
        <v>8316</v>
      </c>
      <c r="K20" s="350">
        <f>K$19/100*Довідник!$C$18*Довідник!K$43</f>
        <v>8316</v>
      </c>
      <c r="L20" s="350">
        <f>L$19/100*Довідник!$C$18*Довідник!L$43</f>
        <v>7920</v>
      </c>
      <c r="M20" s="350">
        <f>M$19/100*Довідник!$C$18*Довідник!M$43</f>
        <v>7920</v>
      </c>
      <c r="N20" s="351">
        <f t="shared" si="3"/>
        <v>99792</v>
      </c>
    </row>
    <row r="21" spans="1:14" ht="34.200000000000003" x14ac:dyDescent="0.3">
      <c r="A21" s="164" t="s">
        <v>267</v>
      </c>
      <c r="B21" s="347">
        <f>Відстань!B47</f>
        <v>600</v>
      </c>
      <c r="C21" s="347">
        <f>Відстань!C47</f>
        <v>600</v>
      </c>
      <c r="D21" s="347">
        <f>Відстань!D47</f>
        <v>660</v>
      </c>
      <c r="E21" s="347">
        <f>Відстань!E47</f>
        <v>630</v>
      </c>
      <c r="F21" s="347">
        <f>Відстань!F47</f>
        <v>660</v>
      </c>
      <c r="G21" s="347">
        <f>Відстань!G47</f>
        <v>630</v>
      </c>
      <c r="H21" s="347">
        <f>Відстань!H47</f>
        <v>660</v>
      </c>
      <c r="I21" s="347">
        <f>Відстань!I47</f>
        <v>660</v>
      </c>
      <c r="J21" s="347">
        <f>Відстань!J47</f>
        <v>630</v>
      </c>
      <c r="K21" s="347">
        <f>Відстань!K47</f>
        <v>630</v>
      </c>
      <c r="L21" s="347">
        <f>Відстань!L47</f>
        <v>600</v>
      </c>
      <c r="M21" s="347">
        <f>Відстань!M47</f>
        <v>600</v>
      </c>
      <c r="N21" s="348">
        <f t="shared" si="3"/>
        <v>7560</v>
      </c>
    </row>
    <row r="22" spans="1:14" ht="34.799999999999997" thickBot="1" x14ac:dyDescent="0.35">
      <c r="A22" s="349" t="s">
        <v>268</v>
      </c>
      <c r="B22" s="350">
        <f>B$21/100*Довідник!$C$19*Довідник!B$47</f>
        <v>1800</v>
      </c>
      <c r="C22" s="350">
        <f>C$21/100*Довідник!$C$19*Довідник!C$47</f>
        <v>1800</v>
      </c>
      <c r="D22" s="350">
        <f>D$21/100*Довідник!$C$19*Довідник!D$47</f>
        <v>1980</v>
      </c>
      <c r="E22" s="350">
        <f>E$21/100*Довідник!$C$19*Довідник!E$47</f>
        <v>1890</v>
      </c>
      <c r="F22" s="350">
        <f>F$21/100*Довідник!$C$19*Довідник!F$47</f>
        <v>1980</v>
      </c>
      <c r="G22" s="350">
        <f>G$21/100*Довідник!$C$19*Довідник!G$47</f>
        <v>1890</v>
      </c>
      <c r="H22" s="350">
        <f>H$21/100*Довідник!$C$19*Довідник!H$47</f>
        <v>1980</v>
      </c>
      <c r="I22" s="350">
        <f>I$21/100*Довідник!$C$19*Довідник!I$47</f>
        <v>1980</v>
      </c>
      <c r="J22" s="350">
        <f>J$21/100*Довідник!$C$19*Довідник!J$47</f>
        <v>1890</v>
      </c>
      <c r="K22" s="350">
        <f>K$21/100*Довідник!$C$19*Довідник!K$47</f>
        <v>1890</v>
      </c>
      <c r="L22" s="350">
        <f>L$21/100*Довідник!$C$19*Довідник!L$47</f>
        <v>1800</v>
      </c>
      <c r="M22" s="350">
        <f>M$21/100*Довідник!$C$19*Довідник!M$47</f>
        <v>1800</v>
      </c>
      <c r="N22" s="351">
        <f t="shared" si="3"/>
        <v>22680</v>
      </c>
    </row>
    <row r="23" spans="1:14" ht="24" x14ac:dyDescent="0.3">
      <c r="A23" s="352" t="s">
        <v>269</v>
      </c>
      <c r="B23" s="353">
        <f>B17+B19+B21</f>
        <v>2520</v>
      </c>
      <c r="C23" s="353">
        <f t="shared" ref="C23:M23" si="4">C17+C19+C21</f>
        <v>2520</v>
      </c>
      <c r="D23" s="353">
        <f t="shared" si="4"/>
        <v>2772</v>
      </c>
      <c r="E23" s="353">
        <f t="shared" si="4"/>
        <v>2646</v>
      </c>
      <c r="F23" s="353">
        <f t="shared" si="4"/>
        <v>2772</v>
      </c>
      <c r="G23" s="353">
        <f t="shared" si="4"/>
        <v>2646</v>
      </c>
      <c r="H23" s="353">
        <f t="shared" si="4"/>
        <v>2772</v>
      </c>
      <c r="I23" s="353">
        <f t="shared" si="4"/>
        <v>2772</v>
      </c>
      <c r="J23" s="353">
        <f t="shared" si="4"/>
        <v>2646</v>
      </c>
      <c r="K23" s="353">
        <f t="shared" si="4"/>
        <v>2646</v>
      </c>
      <c r="L23" s="353">
        <f t="shared" si="4"/>
        <v>2520</v>
      </c>
      <c r="M23" s="353">
        <f t="shared" si="4"/>
        <v>2520</v>
      </c>
      <c r="N23" s="354">
        <f t="shared" si="3"/>
        <v>31752</v>
      </c>
    </row>
    <row r="24" spans="1:14" ht="24.6" thickBot="1" x14ac:dyDescent="0.35">
      <c r="A24" s="355" t="s">
        <v>270</v>
      </c>
      <c r="B24" s="356">
        <f>B18+B20+B22</f>
        <v>15163.2</v>
      </c>
      <c r="C24" s="356">
        <f t="shared" ref="C24:N24" si="5">C18+C20+C22</f>
        <v>15264</v>
      </c>
      <c r="D24" s="356">
        <f t="shared" si="5"/>
        <v>16790.399999999998</v>
      </c>
      <c r="E24" s="356">
        <f t="shared" si="5"/>
        <v>16027.2</v>
      </c>
      <c r="F24" s="356">
        <f t="shared" si="5"/>
        <v>16901.28</v>
      </c>
      <c r="G24" s="356">
        <f t="shared" si="5"/>
        <v>16133.039999999999</v>
      </c>
      <c r="H24" s="356">
        <f t="shared" si="5"/>
        <v>16901.28</v>
      </c>
      <c r="I24" s="356">
        <f t="shared" si="5"/>
        <v>16901.28</v>
      </c>
      <c r="J24" s="356">
        <f t="shared" si="5"/>
        <v>16133.039999999999</v>
      </c>
      <c r="K24" s="356">
        <f t="shared" si="5"/>
        <v>16133.039999999999</v>
      </c>
      <c r="L24" s="356">
        <f t="shared" si="5"/>
        <v>15364.8</v>
      </c>
      <c r="M24" s="356">
        <f t="shared" si="5"/>
        <v>15364.8</v>
      </c>
      <c r="N24" s="357">
        <f t="shared" si="5"/>
        <v>193077.36</v>
      </c>
    </row>
    <row r="27" spans="1:14" ht="15" customHeight="1" thickBot="1" x14ac:dyDescent="0.35">
      <c r="A27" s="486" t="s">
        <v>262</v>
      </c>
      <c r="B27" s="486"/>
      <c r="C27" s="486"/>
      <c r="D27" s="486"/>
      <c r="E27" s="486"/>
      <c r="F27" s="486"/>
      <c r="G27" s="486"/>
      <c r="H27" s="486"/>
      <c r="I27" s="486"/>
      <c r="J27" s="486"/>
      <c r="K27" s="486"/>
      <c r="L27" s="486"/>
      <c r="M27" s="486"/>
      <c r="N27" s="486"/>
    </row>
    <row r="28" spans="1:14" x14ac:dyDescent="0.3">
      <c r="A28" s="505" t="s">
        <v>32</v>
      </c>
      <c r="B28" s="489" t="s">
        <v>33</v>
      </c>
      <c r="C28" s="490"/>
      <c r="D28" s="490"/>
      <c r="E28" s="490"/>
      <c r="F28" s="490"/>
      <c r="G28" s="490"/>
      <c r="H28" s="490"/>
      <c r="I28" s="490"/>
      <c r="J28" s="490"/>
      <c r="K28" s="490"/>
      <c r="L28" s="490"/>
      <c r="M28" s="491"/>
      <c r="N28" s="492" t="s">
        <v>209</v>
      </c>
    </row>
    <row r="29" spans="1:14" ht="15" thickBot="1" x14ac:dyDescent="0.35">
      <c r="A29" s="511"/>
      <c r="B29" s="249" t="s">
        <v>34</v>
      </c>
      <c r="C29" s="266" t="s">
        <v>35</v>
      </c>
      <c r="D29" s="266" t="s">
        <v>36</v>
      </c>
      <c r="E29" s="266" t="s">
        <v>37</v>
      </c>
      <c r="F29" s="266" t="s">
        <v>38</v>
      </c>
      <c r="G29" s="266" t="s">
        <v>39</v>
      </c>
      <c r="H29" s="266" t="s">
        <v>40</v>
      </c>
      <c r="I29" s="266" t="s">
        <v>41</v>
      </c>
      <c r="J29" s="266" t="s">
        <v>42</v>
      </c>
      <c r="K29" s="266" t="s">
        <v>43</v>
      </c>
      <c r="L29" s="266" t="s">
        <v>44</v>
      </c>
      <c r="M29" s="266" t="s">
        <v>45</v>
      </c>
      <c r="N29" s="493"/>
    </row>
    <row r="30" spans="1:14" ht="34.200000000000003" x14ac:dyDescent="0.3">
      <c r="A30" s="164" t="s">
        <v>263</v>
      </c>
      <c r="B30" s="347">
        <f>Відстань!B73-Відстань!B71-Відстань!B72</f>
        <v>720</v>
      </c>
      <c r="C30" s="347">
        <f>Відстань!C73-Відстань!C71-Відстань!C72</f>
        <v>720</v>
      </c>
      <c r="D30" s="347">
        <f>Відстань!D73-Відстань!D71-Відстань!D72</f>
        <v>792</v>
      </c>
      <c r="E30" s="347">
        <f>Відстань!E73-Відстань!E71-Відстань!E72</f>
        <v>756</v>
      </c>
      <c r="F30" s="347">
        <f>Відстань!F73-Відстань!F71-Відстань!F72</f>
        <v>792</v>
      </c>
      <c r="G30" s="347">
        <f>Відстань!G73-Відстань!G71-Відстань!G72</f>
        <v>756</v>
      </c>
      <c r="H30" s="347">
        <f>Відстань!H73-Відстань!H71-Відстань!H72</f>
        <v>792</v>
      </c>
      <c r="I30" s="347">
        <f>Відстань!I73-Відстань!I71-Відстань!I72</f>
        <v>792</v>
      </c>
      <c r="J30" s="347">
        <f>Відстань!J73-Відстань!J71-Відстань!J72</f>
        <v>756</v>
      </c>
      <c r="K30" s="347">
        <f>Відстань!K73-Відстань!K71-Відстань!K72</f>
        <v>756</v>
      </c>
      <c r="L30" s="347">
        <f>Відстань!L73-Відстань!L71-Відстань!L72</f>
        <v>720</v>
      </c>
      <c r="M30" s="347">
        <f>Відстань!M73-Відстань!M71-Відстань!M72</f>
        <v>720</v>
      </c>
      <c r="N30" s="348">
        <f>SUM(B30:M30)</f>
        <v>9072</v>
      </c>
    </row>
    <row r="31" spans="1:14" ht="34.799999999999997" thickBot="1" x14ac:dyDescent="0.35">
      <c r="A31" s="349" t="s">
        <v>264</v>
      </c>
      <c r="B31" s="350">
        <f>B$30/100*Довідник!$C$17*Довідник!B$40</f>
        <v>5745.5999999999995</v>
      </c>
      <c r="C31" s="350">
        <f>C$30/100*Довідник!$C$17*Довідник!C$40</f>
        <v>5745.5999999999995</v>
      </c>
      <c r="D31" s="350">
        <f>D$30/100*Довідник!$C$17*Довідник!D$40</f>
        <v>6320.16</v>
      </c>
      <c r="E31" s="350">
        <f>E$30/100*Довідник!$C$17*Довідник!E$40</f>
        <v>6032.8799999999992</v>
      </c>
      <c r="F31" s="350">
        <f>F$30/100*Довідник!$C$17*Довідник!F$40</f>
        <v>6320.16</v>
      </c>
      <c r="G31" s="350">
        <f>G$30/100*Довідник!$C$17*Довідник!G$40</f>
        <v>6032.8799999999992</v>
      </c>
      <c r="H31" s="350">
        <f>H$30/100*Довідник!$C$17*Довідник!H$40</f>
        <v>6320.16</v>
      </c>
      <c r="I31" s="350">
        <f>I$30/100*Довідник!$C$17*Довідник!I$40</f>
        <v>6320.16</v>
      </c>
      <c r="J31" s="350">
        <f>J$30/100*Довідник!$C$17*Довідник!J$40</f>
        <v>6032.8799999999992</v>
      </c>
      <c r="K31" s="350">
        <f>K$30/100*Довідник!$C$17*Довідник!K$40</f>
        <v>6032.8799999999992</v>
      </c>
      <c r="L31" s="350">
        <f>L$30/100*Довідник!$C$17*Довідник!L$40</f>
        <v>5745.5999999999995</v>
      </c>
      <c r="M31" s="350">
        <f>M$30/100*Довідник!$C$17*Довідник!M$40</f>
        <v>5745.5999999999995</v>
      </c>
      <c r="N31" s="351">
        <f t="shared" ref="N31:N36" si="6">SUM(B31:M31)</f>
        <v>72394.560000000012</v>
      </c>
    </row>
    <row r="32" spans="1:14" ht="34.200000000000003" x14ac:dyDescent="0.3">
      <c r="A32" s="164" t="s">
        <v>265</v>
      </c>
      <c r="B32" s="347">
        <f>Відстань!B71</f>
        <v>1200</v>
      </c>
      <c r="C32" s="347">
        <f>Відстань!C71</f>
        <v>1200</v>
      </c>
      <c r="D32" s="347">
        <f>Відстань!D71</f>
        <v>1320</v>
      </c>
      <c r="E32" s="347">
        <f>Відстань!E71</f>
        <v>1260</v>
      </c>
      <c r="F32" s="347">
        <f>Відстань!F71</f>
        <v>1320</v>
      </c>
      <c r="G32" s="347">
        <f>Відстань!G71</f>
        <v>1260</v>
      </c>
      <c r="H32" s="347">
        <f>Відстань!H71</f>
        <v>1320</v>
      </c>
      <c r="I32" s="347">
        <f>Відстань!I71</f>
        <v>1320</v>
      </c>
      <c r="J32" s="347">
        <f>Відстань!J71</f>
        <v>1260</v>
      </c>
      <c r="K32" s="347">
        <f>Відстань!K71</f>
        <v>1260</v>
      </c>
      <c r="L32" s="347">
        <f>Відстань!L71</f>
        <v>1200</v>
      </c>
      <c r="M32" s="347">
        <f>Відстань!M71</f>
        <v>1200</v>
      </c>
      <c r="N32" s="348">
        <f t="shared" si="6"/>
        <v>15120</v>
      </c>
    </row>
    <row r="33" spans="1:14" ht="34.799999999999997" thickBot="1" x14ac:dyDescent="0.35">
      <c r="A33" s="171" t="s">
        <v>266</v>
      </c>
      <c r="B33" s="350">
        <f>B$32/100*Довідник!$C$18*Довідник!B$44</f>
        <v>8064</v>
      </c>
      <c r="C33" s="350">
        <f>C$32/100*Довідник!$C$18*Довідник!C$44</f>
        <v>8064</v>
      </c>
      <c r="D33" s="350">
        <f>D$32/100*Довідник!$C$18*Довідник!D$44</f>
        <v>8870.3999999999978</v>
      </c>
      <c r="E33" s="350">
        <f>E$32/100*Довідник!$C$18*Довідник!E$44</f>
        <v>8467.1999999999989</v>
      </c>
      <c r="F33" s="350">
        <f>F$32/100*Довідник!$C$18*Довідник!F$44</f>
        <v>8870.3999999999978</v>
      </c>
      <c r="G33" s="350">
        <f>G$32/100*Довідник!$C$18*Довідник!G$44</f>
        <v>8467.1999999999989</v>
      </c>
      <c r="H33" s="350">
        <f>H$32/100*Довідник!$C$18*Довідник!H$44</f>
        <v>8870.3999999999978</v>
      </c>
      <c r="I33" s="350">
        <f>I$32/100*Довідник!$C$18*Довідник!I$44</f>
        <v>8870.3999999999978</v>
      </c>
      <c r="J33" s="350">
        <f>J$32/100*Довідник!$C$18*Довідник!J$44</f>
        <v>8467.1999999999989</v>
      </c>
      <c r="K33" s="350">
        <f>K$32/100*Довідник!$C$18*Довідник!K$44</f>
        <v>8467.1999999999989</v>
      </c>
      <c r="L33" s="350">
        <f>L$32/100*Довідник!$C$18*Довідник!L$44</f>
        <v>8064</v>
      </c>
      <c r="M33" s="350">
        <f>M$32/100*Довідник!$C$18*Довідник!M$44</f>
        <v>8064</v>
      </c>
      <c r="N33" s="351">
        <f t="shared" si="6"/>
        <v>101606.39999999998</v>
      </c>
    </row>
    <row r="34" spans="1:14" ht="34.200000000000003" x14ac:dyDescent="0.3">
      <c r="A34" s="164" t="s">
        <v>267</v>
      </c>
      <c r="B34" s="347">
        <f>Відстань!B72</f>
        <v>600</v>
      </c>
      <c r="C34" s="347">
        <f>Відстань!C72</f>
        <v>600</v>
      </c>
      <c r="D34" s="347">
        <f>Відстань!D72</f>
        <v>660</v>
      </c>
      <c r="E34" s="347">
        <f>Відстань!E72</f>
        <v>630</v>
      </c>
      <c r="F34" s="347">
        <f>Відстань!F72</f>
        <v>660</v>
      </c>
      <c r="G34" s="347">
        <f>Відстань!G72</f>
        <v>630</v>
      </c>
      <c r="H34" s="347">
        <f>Відстань!H72</f>
        <v>660</v>
      </c>
      <c r="I34" s="347">
        <f>Відстань!I72</f>
        <v>660</v>
      </c>
      <c r="J34" s="347">
        <f>Відстань!J72</f>
        <v>630</v>
      </c>
      <c r="K34" s="347">
        <f>Відстань!K72</f>
        <v>630</v>
      </c>
      <c r="L34" s="347">
        <f>Відстань!L72</f>
        <v>600</v>
      </c>
      <c r="M34" s="347">
        <f>Відстань!M72</f>
        <v>600</v>
      </c>
      <c r="N34" s="348">
        <f t="shared" si="6"/>
        <v>7560</v>
      </c>
    </row>
    <row r="35" spans="1:14" ht="34.799999999999997" thickBot="1" x14ac:dyDescent="0.35">
      <c r="A35" s="349" t="s">
        <v>268</v>
      </c>
      <c r="B35" s="350">
        <f>B$34/100*Довідник!$C$19*Довідник!B$48</f>
        <v>1860</v>
      </c>
      <c r="C35" s="350">
        <f>C$34/100*Довідник!$C$19*Довідник!C$48</f>
        <v>1860</v>
      </c>
      <c r="D35" s="350">
        <f>D$34/100*Довідник!$C$19*Довідник!D$48</f>
        <v>2046</v>
      </c>
      <c r="E35" s="350">
        <f>E$34/100*Довідник!$C$19*Довідник!E$48</f>
        <v>1953</v>
      </c>
      <c r="F35" s="350">
        <f>F$34/100*Довідник!$C$19*Довідник!F$48</f>
        <v>2046</v>
      </c>
      <c r="G35" s="350">
        <f>G$34/100*Довідник!$C$19*Довідник!G$48</f>
        <v>1953</v>
      </c>
      <c r="H35" s="350">
        <f>H$34/100*Довідник!$C$19*Довідник!H$48</f>
        <v>2046</v>
      </c>
      <c r="I35" s="350">
        <f>I$34/100*Довідник!$C$19*Довідник!I$48</f>
        <v>2046</v>
      </c>
      <c r="J35" s="350">
        <f>J$34/100*Довідник!$C$19*Довідник!J$48</f>
        <v>1953</v>
      </c>
      <c r="K35" s="350">
        <f>K$34/100*Довідник!$C$19*Довідник!K$48</f>
        <v>1953</v>
      </c>
      <c r="L35" s="350">
        <f>L$34/100*Довідник!$C$19*Довідник!L$48</f>
        <v>1860</v>
      </c>
      <c r="M35" s="350">
        <f>M$34/100*Довідник!$C$19*Довідник!M$48</f>
        <v>1860</v>
      </c>
      <c r="N35" s="351">
        <f t="shared" si="6"/>
        <v>23436</v>
      </c>
    </row>
    <row r="36" spans="1:14" ht="24" x14ac:dyDescent="0.3">
      <c r="A36" s="352" t="s">
        <v>269</v>
      </c>
      <c r="B36" s="353">
        <f>B30+B32+B34</f>
        <v>2520</v>
      </c>
      <c r="C36" s="353">
        <f t="shared" ref="C36:M36" si="7">C30+C32+C34</f>
        <v>2520</v>
      </c>
      <c r="D36" s="353">
        <f t="shared" si="7"/>
        <v>2772</v>
      </c>
      <c r="E36" s="353">
        <f t="shared" si="7"/>
        <v>2646</v>
      </c>
      <c r="F36" s="353">
        <f t="shared" si="7"/>
        <v>2772</v>
      </c>
      <c r="G36" s="353">
        <f t="shared" si="7"/>
        <v>2646</v>
      </c>
      <c r="H36" s="353">
        <f t="shared" si="7"/>
        <v>2772</v>
      </c>
      <c r="I36" s="353">
        <f t="shared" si="7"/>
        <v>2772</v>
      </c>
      <c r="J36" s="353">
        <f t="shared" si="7"/>
        <v>2646</v>
      </c>
      <c r="K36" s="353">
        <f t="shared" si="7"/>
        <v>2646</v>
      </c>
      <c r="L36" s="353">
        <f t="shared" si="7"/>
        <v>2520</v>
      </c>
      <c r="M36" s="353">
        <f t="shared" si="7"/>
        <v>2520</v>
      </c>
      <c r="N36" s="354">
        <f t="shared" si="6"/>
        <v>31752</v>
      </c>
    </row>
    <row r="37" spans="1:14" ht="24.6" thickBot="1" x14ac:dyDescent="0.35">
      <c r="A37" s="355" t="s">
        <v>270</v>
      </c>
      <c r="B37" s="356">
        <f>B31+B33+B35</f>
        <v>15669.599999999999</v>
      </c>
      <c r="C37" s="356">
        <f t="shared" ref="C37:N37" si="8">C31+C33+C35</f>
        <v>15669.599999999999</v>
      </c>
      <c r="D37" s="356">
        <f t="shared" si="8"/>
        <v>17236.559999999998</v>
      </c>
      <c r="E37" s="356">
        <f t="shared" si="8"/>
        <v>16453.079999999998</v>
      </c>
      <c r="F37" s="356">
        <f t="shared" si="8"/>
        <v>17236.559999999998</v>
      </c>
      <c r="G37" s="356">
        <f t="shared" si="8"/>
        <v>16453.079999999998</v>
      </c>
      <c r="H37" s="356">
        <f t="shared" si="8"/>
        <v>17236.559999999998</v>
      </c>
      <c r="I37" s="356">
        <f t="shared" si="8"/>
        <v>17236.559999999998</v>
      </c>
      <c r="J37" s="356">
        <f t="shared" si="8"/>
        <v>16453.079999999998</v>
      </c>
      <c r="K37" s="356">
        <f t="shared" si="8"/>
        <v>16453.079999999998</v>
      </c>
      <c r="L37" s="356">
        <f t="shared" si="8"/>
        <v>15669.599999999999</v>
      </c>
      <c r="M37" s="356">
        <f t="shared" si="8"/>
        <v>15669.599999999999</v>
      </c>
      <c r="N37" s="357">
        <f t="shared" si="8"/>
        <v>197436.96</v>
      </c>
    </row>
  </sheetData>
  <sheetProtection algorithmName="SHA-512" hashValue="QHX/jLPHmOkImBMWnTgCDa4FQZgCOe4qPXcRiQ4d2U4EKGk9zhw6bE0O7VXk+KfsTyQgPAwmqkQ/6kdghHEBbw==" saltValue="+tR22CDYjKpgOaoiStX/yg==" spinCount="100000" sheet="1" objects="1" scenarios="1"/>
  <mergeCells count="15">
    <mergeCell ref="A1:N1"/>
    <mergeCell ref="A2:A3"/>
    <mergeCell ref="B2:M2"/>
    <mergeCell ref="N2:N3"/>
    <mergeCell ref="A27:N27"/>
    <mergeCell ref="Q2:R2"/>
    <mergeCell ref="A28:A29"/>
    <mergeCell ref="B28:M28"/>
    <mergeCell ref="N28:N29"/>
    <mergeCell ref="A14:N14"/>
    <mergeCell ref="A15:A16"/>
    <mergeCell ref="B15:M15"/>
    <mergeCell ref="N15:N16"/>
    <mergeCell ref="Q3:V4"/>
    <mergeCell ref="Q5:V7"/>
  </mergeCells>
  <pageMargins left="0.7" right="0.7" top="0.75" bottom="0.75" header="0.3" footer="0.3"/>
  <pageSetup paperSize="0" orientation="portrait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P14"/>
  <sheetViews>
    <sheetView workbookViewId="0">
      <selection activeCell="A3" sqref="A3"/>
    </sheetView>
  </sheetViews>
  <sheetFormatPr defaultColWidth="9.109375" defaultRowHeight="13.2" x14ac:dyDescent="0.25"/>
  <cols>
    <col min="1" max="3" width="10.6640625" style="342" customWidth="1"/>
    <col min="4" max="4" width="12.5546875" style="342" customWidth="1"/>
    <col min="5" max="7" width="10.6640625" style="342" customWidth="1"/>
    <col min="8" max="8" width="15" style="342" customWidth="1"/>
    <col min="9" max="16384" width="9.109375" style="342"/>
  </cols>
  <sheetData>
    <row r="1" spans="1:16" ht="26.25" customHeight="1" x14ac:dyDescent="0.25">
      <c r="A1" s="513" t="s">
        <v>271</v>
      </c>
      <c r="B1" s="513"/>
      <c r="C1" s="513"/>
      <c r="D1" s="513"/>
      <c r="E1" s="513"/>
      <c r="F1" s="513"/>
      <c r="G1" s="513"/>
      <c r="H1" s="513"/>
    </row>
    <row r="2" spans="1:16" s="345" customFormat="1" ht="52.8" x14ac:dyDescent="0.3">
      <c r="A2" s="343" t="s">
        <v>272</v>
      </c>
      <c r="B2" s="344" t="s">
        <v>273</v>
      </c>
      <c r="C2" s="344" t="s">
        <v>274</v>
      </c>
      <c r="D2" s="344" t="s">
        <v>275</v>
      </c>
      <c r="E2" s="344" t="s">
        <v>276</v>
      </c>
      <c r="F2" s="344" t="s">
        <v>277</v>
      </c>
      <c r="G2" s="344" t="s">
        <v>278</v>
      </c>
      <c r="H2" s="344" t="s">
        <v>279</v>
      </c>
      <c r="K2" s="481" t="s">
        <v>127</v>
      </c>
      <c r="L2" s="481"/>
      <c r="M2" s="426"/>
      <c r="N2" s="426"/>
      <c r="O2" s="426"/>
      <c r="P2" s="426"/>
    </row>
    <row r="3" spans="1:16" ht="13.2" customHeight="1" x14ac:dyDescent="0.25">
      <c r="A3" s="346"/>
      <c r="B3" s="330">
        <f>Відстань!N23</f>
        <v>28276</v>
      </c>
      <c r="C3" s="330">
        <f>ПММ!N11</f>
        <v>162045.52000000002</v>
      </c>
      <c r="D3" s="330">
        <f>B3/10000</f>
        <v>2.8275999999999999</v>
      </c>
      <c r="E3" s="330">
        <f>C3*0.05</f>
        <v>8102.2760000000017</v>
      </c>
      <c r="F3" s="330">
        <f>C3*0.1</f>
        <v>16204.552000000003</v>
      </c>
      <c r="G3" s="330">
        <f>C3*0.07</f>
        <v>11343.186400000002</v>
      </c>
      <c r="H3" s="330">
        <f>D3*E3+F3+G3+C3</f>
        <v>212503.25401760003</v>
      </c>
      <c r="K3" s="499" t="s">
        <v>228</v>
      </c>
      <c r="L3" s="499"/>
      <c r="M3" s="499"/>
      <c r="N3" s="499"/>
      <c r="O3" s="499"/>
      <c r="P3" s="427"/>
    </row>
    <row r="4" spans="1:16" ht="13.2" customHeight="1" x14ac:dyDescent="0.25">
      <c r="A4" s="346"/>
      <c r="B4" s="330">
        <f>Відстань!N48</f>
        <v>31752</v>
      </c>
      <c r="C4" s="330">
        <f>ПММ!N24</f>
        <v>193077.36</v>
      </c>
      <c r="D4" s="330">
        <f>B4/10000</f>
        <v>3.1751999999999998</v>
      </c>
      <c r="E4" s="330">
        <f t="shared" ref="E4:E5" si="0">C4*0.05</f>
        <v>9653.8680000000004</v>
      </c>
      <c r="F4" s="330">
        <f t="shared" ref="F4:F5" si="1">C4*0.1</f>
        <v>19307.736000000001</v>
      </c>
      <c r="G4" s="330">
        <f t="shared" ref="G4:G5" si="2">C4*0.07</f>
        <v>13515.415199999999</v>
      </c>
      <c r="H4" s="330">
        <f t="shared" ref="H4:H5" si="3">D4*E4+F4+G4+C4</f>
        <v>256553.47287359997</v>
      </c>
      <c r="K4" s="499"/>
      <c r="L4" s="499"/>
      <c r="M4" s="499"/>
      <c r="N4" s="499"/>
      <c r="O4" s="499"/>
      <c r="P4" s="427"/>
    </row>
    <row r="5" spans="1:16" ht="13.2" customHeight="1" x14ac:dyDescent="0.25">
      <c r="A5" s="346"/>
      <c r="B5" s="330">
        <f>Відстань!N73</f>
        <v>31752</v>
      </c>
      <c r="C5" s="330">
        <f>ПММ!N37</f>
        <v>197436.96</v>
      </c>
      <c r="D5" s="330">
        <f>B5/10000</f>
        <v>3.1751999999999998</v>
      </c>
      <c r="E5" s="330">
        <f t="shared" si="0"/>
        <v>9871.848</v>
      </c>
      <c r="F5" s="330">
        <f t="shared" si="1"/>
        <v>19743.696</v>
      </c>
      <c r="G5" s="330">
        <f t="shared" si="2"/>
        <v>13820.5872</v>
      </c>
      <c r="H5" s="330">
        <f t="shared" si="3"/>
        <v>262346.33496959996</v>
      </c>
      <c r="K5" s="499"/>
      <c r="L5" s="499"/>
      <c r="M5" s="499"/>
      <c r="N5" s="499"/>
      <c r="O5" s="499"/>
      <c r="P5" s="427"/>
    </row>
    <row r="7" spans="1:16" x14ac:dyDescent="0.25">
      <c r="K7" s="514" t="s">
        <v>395</v>
      </c>
      <c r="L7" s="515"/>
      <c r="M7" s="515"/>
      <c r="N7" s="515"/>
      <c r="O7" s="515"/>
    </row>
    <row r="8" spans="1:16" x14ac:dyDescent="0.25">
      <c r="K8" s="515"/>
      <c r="L8" s="515"/>
      <c r="M8" s="515"/>
      <c r="N8" s="515"/>
      <c r="O8" s="515"/>
    </row>
    <row r="9" spans="1:16" x14ac:dyDescent="0.25">
      <c r="K9" s="515"/>
      <c r="L9" s="515"/>
      <c r="M9" s="515"/>
      <c r="N9" s="515"/>
      <c r="O9" s="515"/>
    </row>
    <row r="10" spans="1:16" x14ac:dyDescent="0.25">
      <c r="K10" s="515"/>
      <c r="L10" s="515"/>
      <c r="M10" s="515"/>
      <c r="N10" s="515"/>
      <c r="O10" s="515"/>
    </row>
    <row r="11" spans="1:16" x14ac:dyDescent="0.25">
      <c r="K11" s="515"/>
      <c r="L11" s="515"/>
      <c r="M11" s="515"/>
      <c r="N11" s="515"/>
      <c r="O11" s="515"/>
    </row>
    <row r="12" spans="1:16" x14ac:dyDescent="0.25">
      <c r="K12" s="515"/>
      <c r="L12" s="515"/>
      <c r="M12" s="515"/>
      <c r="N12" s="515"/>
      <c r="O12" s="515"/>
    </row>
    <row r="13" spans="1:16" x14ac:dyDescent="0.25">
      <c r="K13" s="515"/>
      <c r="L13" s="515"/>
      <c r="M13" s="515"/>
      <c r="N13" s="515"/>
      <c r="O13" s="515"/>
    </row>
    <row r="14" spans="1:16" x14ac:dyDescent="0.25">
      <c r="K14" s="515"/>
      <c r="L14" s="515"/>
      <c r="M14" s="515"/>
      <c r="N14" s="515"/>
      <c r="O14" s="515"/>
    </row>
  </sheetData>
  <sheetProtection algorithmName="SHA-512" hashValue="632zPhU/Gbsn+miHFTT41Ew66WWXOYXDD084rCx+ZSeAkE8DezCKRa/a1qI8W9ECmVxAwj4aSX+vZkoz4rUEOA==" saltValue="xhVRSTuHFV0PTaHTUeQNsQ==" spinCount="100000" sheet="1" objects="1" scenarios="1"/>
  <mergeCells count="4">
    <mergeCell ref="A1:H1"/>
    <mergeCell ref="K2:L2"/>
    <mergeCell ref="K3:O5"/>
    <mergeCell ref="K7:O14"/>
  </mergeCells>
  <pageMargins left="0.7" right="0.7" top="0.75" bottom="0.75" header="0.3" footer="0.3"/>
  <pageSetup paperSize="9" orientation="portrait" horizont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O29"/>
  <sheetViews>
    <sheetView workbookViewId="0">
      <selection activeCell="J19" sqref="J19"/>
    </sheetView>
  </sheetViews>
  <sheetFormatPr defaultColWidth="8.88671875" defaultRowHeight="13.2" x14ac:dyDescent="0.25"/>
  <cols>
    <col min="1" max="1" width="29.88671875" style="323" customWidth="1"/>
    <col min="2" max="2" width="9.109375" style="323" customWidth="1"/>
    <col min="3" max="4" width="10.88671875" style="323" customWidth="1"/>
    <col min="5" max="5" width="12.109375" style="323" customWidth="1"/>
    <col min="6" max="6" width="11.33203125" style="323" customWidth="1"/>
    <col min="7" max="7" width="14.6640625" style="323" customWidth="1"/>
    <col min="8" max="257" width="8.88671875" style="323"/>
    <col min="258" max="258" width="29.88671875" style="323" customWidth="1"/>
    <col min="259" max="259" width="9.109375" style="323" customWidth="1"/>
    <col min="260" max="260" width="10.88671875" style="323" customWidth="1"/>
    <col min="261" max="261" width="12.109375" style="323" customWidth="1"/>
    <col min="262" max="262" width="15.44140625" style="323" customWidth="1"/>
    <col min="263" max="263" width="12" style="323" customWidth="1"/>
    <col min="264" max="513" width="8.88671875" style="323"/>
    <col min="514" max="514" width="29.88671875" style="323" customWidth="1"/>
    <col min="515" max="515" width="9.109375" style="323" customWidth="1"/>
    <col min="516" max="516" width="10.88671875" style="323" customWidth="1"/>
    <col min="517" max="517" width="12.109375" style="323" customWidth="1"/>
    <col min="518" max="518" width="15.44140625" style="323" customWidth="1"/>
    <col min="519" max="519" width="12" style="323" customWidth="1"/>
    <col min="520" max="769" width="8.88671875" style="323"/>
    <col min="770" max="770" width="29.88671875" style="323" customWidth="1"/>
    <col min="771" max="771" width="9.109375" style="323" customWidth="1"/>
    <col min="772" max="772" width="10.88671875" style="323" customWidth="1"/>
    <col min="773" max="773" width="12.109375" style="323" customWidth="1"/>
    <col min="774" max="774" width="15.44140625" style="323" customWidth="1"/>
    <col min="775" max="775" width="12" style="323" customWidth="1"/>
    <col min="776" max="1025" width="8.88671875" style="323"/>
    <col min="1026" max="1026" width="29.88671875" style="323" customWidth="1"/>
    <col min="1027" max="1027" width="9.109375" style="323" customWidth="1"/>
    <col min="1028" max="1028" width="10.88671875" style="323" customWidth="1"/>
    <col min="1029" max="1029" width="12.109375" style="323" customWidth="1"/>
    <col min="1030" max="1030" width="15.44140625" style="323" customWidth="1"/>
    <col min="1031" max="1031" width="12" style="323" customWidth="1"/>
    <col min="1032" max="1281" width="8.88671875" style="323"/>
    <col min="1282" max="1282" width="29.88671875" style="323" customWidth="1"/>
    <col min="1283" max="1283" width="9.109375" style="323" customWidth="1"/>
    <col min="1284" max="1284" width="10.88671875" style="323" customWidth="1"/>
    <col min="1285" max="1285" width="12.109375" style="323" customWidth="1"/>
    <col min="1286" max="1286" width="15.44140625" style="323" customWidth="1"/>
    <col min="1287" max="1287" width="12" style="323" customWidth="1"/>
    <col min="1288" max="1537" width="8.88671875" style="323"/>
    <col min="1538" max="1538" width="29.88671875" style="323" customWidth="1"/>
    <col min="1539" max="1539" width="9.109375" style="323" customWidth="1"/>
    <col min="1540" max="1540" width="10.88671875" style="323" customWidth="1"/>
    <col min="1541" max="1541" width="12.109375" style="323" customWidth="1"/>
    <col min="1542" max="1542" width="15.44140625" style="323" customWidth="1"/>
    <col min="1543" max="1543" width="12" style="323" customWidth="1"/>
    <col min="1544" max="1793" width="8.88671875" style="323"/>
    <col min="1794" max="1794" width="29.88671875" style="323" customWidth="1"/>
    <col min="1795" max="1795" width="9.109375" style="323" customWidth="1"/>
    <col min="1796" max="1796" width="10.88671875" style="323" customWidth="1"/>
    <col min="1797" max="1797" width="12.109375" style="323" customWidth="1"/>
    <col min="1798" max="1798" width="15.44140625" style="323" customWidth="1"/>
    <col min="1799" max="1799" width="12" style="323" customWidth="1"/>
    <col min="1800" max="2049" width="8.88671875" style="323"/>
    <col min="2050" max="2050" width="29.88671875" style="323" customWidth="1"/>
    <col min="2051" max="2051" width="9.109375" style="323" customWidth="1"/>
    <col min="2052" max="2052" width="10.88671875" style="323" customWidth="1"/>
    <col min="2053" max="2053" width="12.109375" style="323" customWidth="1"/>
    <col min="2054" max="2054" width="15.44140625" style="323" customWidth="1"/>
    <col min="2055" max="2055" width="12" style="323" customWidth="1"/>
    <col min="2056" max="2305" width="8.88671875" style="323"/>
    <col min="2306" max="2306" width="29.88671875" style="323" customWidth="1"/>
    <col min="2307" max="2307" width="9.109375" style="323" customWidth="1"/>
    <col min="2308" max="2308" width="10.88671875" style="323" customWidth="1"/>
    <col min="2309" max="2309" width="12.109375" style="323" customWidth="1"/>
    <col min="2310" max="2310" width="15.44140625" style="323" customWidth="1"/>
    <col min="2311" max="2311" width="12" style="323" customWidth="1"/>
    <col min="2312" max="2561" width="8.88671875" style="323"/>
    <col min="2562" max="2562" width="29.88671875" style="323" customWidth="1"/>
    <col min="2563" max="2563" width="9.109375" style="323" customWidth="1"/>
    <col min="2564" max="2564" width="10.88671875" style="323" customWidth="1"/>
    <col min="2565" max="2565" width="12.109375" style="323" customWidth="1"/>
    <col min="2566" max="2566" width="15.44140625" style="323" customWidth="1"/>
    <col min="2567" max="2567" width="12" style="323" customWidth="1"/>
    <col min="2568" max="2817" width="8.88671875" style="323"/>
    <col min="2818" max="2818" width="29.88671875" style="323" customWidth="1"/>
    <col min="2819" max="2819" width="9.109375" style="323" customWidth="1"/>
    <col min="2820" max="2820" width="10.88671875" style="323" customWidth="1"/>
    <col min="2821" max="2821" width="12.109375" style="323" customWidth="1"/>
    <col min="2822" max="2822" width="15.44140625" style="323" customWidth="1"/>
    <col min="2823" max="2823" width="12" style="323" customWidth="1"/>
    <col min="2824" max="3073" width="8.88671875" style="323"/>
    <col min="3074" max="3074" width="29.88671875" style="323" customWidth="1"/>
    <col min="3075" max="3075" width="9.109375" style="323" customWidth="1"/>
    <col min="3076" max="3076" width="10.88671875" style="323" customWidth="1"/>
    <col min="3077" max="3077" width="12.109375" style="323" customWidth="1"/>
    <col min="3078" max="3078" width="15.44140625" style="323" customWidth="1"/>
    <col min="3079" max="3079" width="12" style="323" customWidth="1"/>
    <col min="3080" max="3329" width="8.88671875" style="323"/>
    <col min="3330" max="3330" width="29.88671875" style="323" customWidth="1"/>
    <col min="3331" max="3331" width="9.109375" style="323" customWidth="1"/>
    <col min="3332" max="3332" width="10.88671875" style="323" customWidth="1"/>
    <col min="3333" max="3333" width="12.109375" style="323" customWidth="1"/>
    <col min="3334" max="3334" width="15.44140625" style="323" customWidth="1"/>
    <col min="3335" max="3335" width="12" style="323" customWidth="1"/>
    <col min="3336" max="3585" width="8.88671875" style="323"/>
    <col min="3586" max="3586" width="29.88671875" style="323" customWidth="1"/>
    <col min="3587" max="3587" width="9.109375" style="323" customWidth="1"/>
    <col min="3588" max="3588" width="10.88671875" style="323" customWidth="1"/>
    <col min="3589" max="3589" width="12.109375" style="323" customWidth="1"/>
    <col min="3590" max="3590" width="15.44140625" style="323" customWidth="1"/>
    <col min="3591" max="3591" width="12" style="323" customWidth="1"/>
    <col min="3592" max="3841" width="8.88671875" style="323"/>
    <col min="3842" max="3842" width="29.88671875" style="323" customWidth="1"/>
    <col min="3843" max="3843" width="9.109375" style="323" customWidth="1"/>
    <col min="3844" max="3844" width="10.88671875" style="323" customWidth="1"/>
    <col min="3845" max="3845" width="12.109375" style="323" customWidth="1"/>
    <col min="3846" max="3846" width="15.44140625" style="323" customWidth="1"/>
    <col min="3847" max="3847" width="12" style="323" customWidth="1"/>
    <col min="3848" max="4097" width="8.88671875" style="323"/>
    <col min="4098" max="4098" width="29.88671875" style="323" customWidth="1"/>
    <col min="4099" max="4099" width="9.109375" style="323" customWidth="1"/>
    <col min="4100" max="4100" width="10.88671875" style="323" customWidth="1"/>
    <col min="4101" max="4101" width="12.109375" style="323" customWidth="1"/>
    <col min="4102" max="4102" width="15.44140625" style="323" customWidth="1"/>
    <col min="4103" max="4103" width="12" style="323" customWidth="1"/>
    <col min="4104" max="4353" width="8.88671875" style="323"/>
    <col min="4354" max="4354" width="29.88671875" style="323" customWidth="1"/>
    <col min="4355" max="4355" width="9.109375" style="323" customWidth="1"/>
    <col min="4356" max="4356" width="10.88671875" style="323" customWidth="1"/>
    <col min="4357" max="4357" width="12.109375" style="323" customWidth="1"/>
    <col min="4358" max="4358" width="15.44140625" style="323" customWidth="1"/>
    <col min="4359" max="4359" width="12" style="323" customWidth="1"/>
    <col min="4360" max="4609" width="8.88671875" style="323"/>
    <col min="4610" max="4610" width="29.88671875" style="323" customWidth="1"/>
    <col min="4611" max="4611" width="9.109375" style="323" customWidth="1"/>
    <col min="4612" max="4612" width="10.88671875" style="323" customWidth="1"/>
    <col min="4613" max="4613" width="12.109375" style="323" customWidth="1"/>
    <col min="4614" max="4614" width="15.44140625" style="323" customWidth="1"/>
    <col min="4615" max="4615" width="12" style="323" customWidth="1"/>
    <col min="4616" max="4865" width="8.88671875" style="323"/>
    <col min="4866" max="4866" width="29.88671875" style="323" customWidth="1"/>
    <col min="4867" max="4867" width="9.109375" style="323" customWidth="1"/>
    <col min="4868" max="4868" width="10.88671875" style="323" customWidth="1"/>
    <col min="4869" max="4869" width="12.109375" style="323" customWidth="1"/>
    <col min="4870" max="4870" width="15.44140625" style="323" customWidth="1"/>
    <col min="4871" max="4871" width="12" style="323" customWidth="1"/>
    <col min="4872" max="5121" width="8.88671875" style="323"/>
    <col min="5122" max="5122" width="29.88671875" style="323" customWidth="1"/>
    <col min="5123" max="5123" width="9.109375" style="323" customWidth="1"/>
    <col min="5124" max="5124" width="10.88671875" style="323" customWidth="1"/>
    <col min="5125" max="5125" width="12.109375" style="323" customWidth="1"/>
    <col min="5126" max="5126" width="15.44140625" style="323" customWidth="1"/>
    <col min="5127" max="5127" width="12" style="323" customWidth="1"/>
    <col min="5128" max="5377" width="8.88671875" style="323"/>
    <col min="5378" max="5378" width="29.88671875" style="323" customWidth="1"/>
    <col min="5379" max="5379" width="9.109375" style="323" customWidth="1"/>
    <col min="5380" max="5380" width="10.88671875" style="323" customWidth="1"/>
    <col min="5381" max="5381" width="12.109375" style="323" customWidth="1"/>
    <col min="5382" max="5382" width="15.44140625" style="323" customWidth="1"/>
    <col min="5383" max="5383" width="12" style="323" customWidth="1"/>
    <col min="5384" max="5633" width="8.88671875" style="323"/>
    <col min="5634" max="5634" width="29.88671875" style="323" customWidth="1"/>
    <col min="5635" max="5635" width="9.109375" style="323" customWidth="1"/>
    <col min="5636" max="5636" width="10.88671875" style="323" customWidth="1"/>
    <col min="5637" max="5637" width="12.109375" style="323" customWidth="1"/>
    <col min="5638" max="5638" width="15.44140625" style="323" customWidth="1"/>
    <col min="5639" max="5639" width="12" style="323" customWidth="1"/>
    <col min="5640" max="5889" width="8.88671875" style="323"/>
    <col min="5890" max="5890" width="29.88671875" style="323" customWidth="1"/>
    <col min="5891" max="5891" width="9.109375" style="323" customWidth="1"/>
    <col min="5892" max="5892" width="10.88671875" style="323" customWidth="1"/>
    <col min="5893" max="5893" width="12.109375" style="323" customWidth="1"/>
    <col min="5894" max="5894" width="15.44140625" style="323" customWidth="1"/>
    <col min="5895" max="5895" width="12" style="323" customWidth="1"/>
    <col min="5896" max="6145" width="8.88671875" style="323"/>
    <col min="6146" max="6146" width="29.88671875" style="323" customWidth="1"/>
    <col min="6147" max="6147" width="9.109375" style="323" customWidth="1"/>
    <col min="6148" max="6148" width="10.88671875" style="323" customWidth="1"/>
    <col min="6149" max="6149" width="12.109375" style="323" customWidth="1"/>
    <col min="6150" max="6150" width="15.44140625" style="323" customWidth="1"/>
    <col min="6151" max="6151" width="12" style="323" customWidth="1"/>
    <col min="6152" max="6401" width="8.88671875" style="323"/>
    <col min="6402" max="6402" width="29.88671875" style="323" customWidth="1"/>
    <col min="6403" max="6403" width="9.109375" style="323" customWidth="1"/>
    <col min="6404" max="6404" width="10.88671875" style="323" customWidth="1"/>
    <col min="6405" max="6405" width="12.109375" style="323" customWidth="1"/>
    <col min="6406" max="6406" width="15.44140625" style="323" customWidth="1"/>
    <col min="6407" max="6407" width="12" style="323" customWidth="1"/>
    <col min="6408" max="6657" width="8.88671875" style="323"/>
    <col min="6658" max="6658" width="29.88671875" style="323" customWidth="1"/>
    <col min="6659" max="6659" width="9.109375" style="323" customWidth="1"/>
    <col min="6660" max="6660" width="10.88671875" style="323" customWidth="1"/>
    <col min="6661" max="6661" width="12.109375" style="323" customWidth="1"/>
    <col min="6662" max="6662" width="15.44140625" style="323" customWidth="1"/>
    <col min="6663" max="6663" width="12" style="323" customWidth="1"/>
    <col min="6664" max="6913" width="8.88671875" style="323"/>
    <col min="6914" max="6914" width="29.88671875" style="323" customWidth="1"/>
    <col min="6915" max="6915" width="9.109375" style="323" customWidth="1"/>
    <col min="6916" max="6916" width="10.88671875" style="323" customWidth="1"/>
    <col min="6917" max="6917" width="12.109375" style="323" customWidth="1"/>
    <col min="6918" max="6918" width="15.44140625" style="323" customWidth="1"/>
    <col min="6919" max="6919" width="12" style="323" customWidth="1"/>
    <col min="6920" max="7169" width="8.88671875" style="323"/>
    <col min="7170" max="7170" width="29.88671875" style="323" customWidth="1"/>
    <col min="7171" max="7171" width="9.109375" style="323" customWidth="1"/>
    <col min="7172" max="7172" width="10.88671875" style="323" customWidth="1"/>
    <col min="7173" max="7173" width="12.109375" style="323" customWidth="1"/>
    <col min="7174" max="7174" width="15.44140625" style="323" customWidth="1"/>
    <col min="7175" max="7175" width="12" style="323" customWidth="1"/>
    <col min="7176" max="7425" width="8.88671875" style="323"/>
    <col min="7426" max="7426" width="29.88671875" style="323" customWidth="1"/>
    <col min="7427" max="7427" width="9.109375" style="323" customWidth="1"/>
    <col min="7428" max="7428" width="10.88671875" style="323" customWidth="1"/>
    <col min="7429" max="7429" width="12.109375" style="323" customWidth="1"/>
    <col min="7430" max="7430" width="15.44140625" style="323" customWidth="1"/>
    <col min="7431" max="7431" width="12" style="323" customWidth="1"/>
    <col min="7432" max="7681" width="8.88671875" style="323"/>
    <col min="7682" max="7682" width="29.88671875" style="323" customWidth="1"/>
    <col min="7683" max="7683" width="9.109375" style="323" customWidth="1"/>
    <col min="7684" max="7684" width="10.88671875" style="323" customWidth="1"/>
    <col min="7685" max="7685" width="12.109375" style="323" customWidth="1"/>
    <col min="7686" max="7686" width="15.44140625" style="323" customWidth="1"/>
    <col min="7687" max="7687" width="12" style="323" customWidth="1"/>
    <col min="7688" max="7937" width="8.88671875" style="323"/>
    <col min="7938" max="7938" width="29.88671875" style="323" customWidth="1"/>
    <col min="7939" max="7939" width="9.109375" style="323" customWidth="1"/>
    <col min="7940" max="7940" width="10.88671875" style="323" customWidth="1"/>
    <col min="7941" max="7941" width="12.109375" style="323" customWidth="1"/>
    <col min="7942" max="7942" width="15.44140625" style="323" customWidth="1"/>
    <col min="7943" max="7943" width="12" style="323" customWidth="1"/>
    <col min="7944" max="8193" width="8.88671875" style="323"/>
    <col min="8194" max="8194" width="29.88671875" style="323" customWidth="1"/>
    <col min="8195" max="8195" width="9.109375" style="323" customWidth="1"/>
    <col min="8196" max="8196" width="10.88671875" style="323" customWidth="1"/>
    <col min="8197" max="8197" width="12.109375" style="323" customWidth="1"/>
    <col min="8198" max="8198" width="15.44140625" style="323" customWidth="1"/>
    <col min="8199" max="8199" width="12" style="323" customWidth="1"/>
    <col min="8200" max="8449" width="8.88671875" style="323"/>
    <col min="8450" max="8450" width="29.88671875" style="323" customWidth="1"/>
    <col min="8451" max="8451" width="9.109375" style="323" customWidth="1"/>
    <col min="8452" max="8452" width="10.88671875" style="323" customWidth="1"/>
    <col min="8453" max="8453" width="12.109375" style="323" customWidth="1"/>
    <col min="8454" max="8454" width="15.44140625" style="323" customWidth="1"/>
    <col min="8455" max="8455" width="12" style="323" customWidth="1"/>
    <col min="8456" max="8705" width="8.88671875" style="323"/>
    <col min="8706" max="8706" width="29.88671875" style="323" customWidth="1"/>
    <col min="8707" max="8707" width="9.109375" style="323" customWidth="1"/>
    <col min="8708" max="8708" width="10.88671875" style="323" customWidth="1"/>
    <col min="8709" max="8709" width="12.109375" style="323" customWidth="1"/>
    <col min="8710" max="8710" width="15.44140625" style="323" customWidth="1"/>
    <col min="8711" max="8711" width="12" style="323" customWidth="1"/>
    <col min="8712" max="8961" width="8.88671875" style="323"/>
    <col min="8962" max="8962" width="29.88671875" style="323" customWidth="1"/>
    <col min="8963" max="8963" width="9.109375" style="323" customWidth="1"/>
    <col min="8964" max="8964" width="10.88671875" style="323" customWidth="1"/>
    <col min="8965" max="8965" width="12.109375" style="323" customWidth="1"/>
    <col min="8966" max="8966" width="15.44140625" style="323" customWidth="1"/>
    <col min="8967" max="8967" width="12" style="323" customWidth="1"/>
    <col min="8968" max="9217" width="8.88671875" style="323"/>
    <col min="9218" max="9218" width="29.88671875" style="323" customWidth="1"/>
    <col min="9219" max="9219" width="9.109375" style="323" customWidth="1"/>
    <col min="9220" max="9220" width="10.88671875" style="323" customWidth="1"/>
    <col min="9221" max="9221" width="12.109375" style="323" customWidth="1"/>
    <col min="9222" max="9222" width="15.44140625" style="323" customWidth="1"/>
    <col min="9223" max="9223" width="12" style="323" customWidth="1"/>
    <col min="9224" max="9473" width="8.88671875" style="323"/>
    <col min="9474" max="9474" width="29.88671875" style="323" customWidth="1"/>
    <col min="9475" max="9475" width="9.109375" style="323" customWidth="1"/>
    <col min="9476" max="9476" width="10.88671875" style="323" customWidth="1"/>
    <col min="9477" max="9477" width="12.109375" style="323" customWidth="1"/>
    <col min="9478" max="9478" width="15.44140625" style="323" customWidth="1"/>
    <col min="9479" max="9479" width="12" style="323" customWidth="1"/>
    <col min="9480" max="9729" width="8.88671875" style="323"/>
    <col min="9730" max="9730" width="29.88671875" style="323" customWidth="1"/>
    <col min="9731" max="9731" width="9.109375" style="323" customWidth="1"/>
    <col min="9732" max="9732" width="10.88671875" style="323" customWidth="1"/>
    <col min="9733" max="9733" width="12.109375" style="323" customWidth="1"/>
    <col min="9734" max="9734" width="15.44140625" style="323" customWidth="1"/>
    <col min="9735" max="9735" width="12" style="323" customWidth="1"/>
    <col min="9736" max="9985" width="8.88671875" style="323"/>
    <col min="9986" max="9986" width="29.88671875" style="323" customWidth="1"/>
    <col min="9987" max="9987" width="9.109375" style="323" customWidth="1"/>
    <col min="9988" max="9988" width="10.88671875" style="323" customWidth="1"/>
    <col min="9989" max="9989" width="12.109375" style="323" customWidth="1"/>
    <col min="9990" max="9990" width="15.44140625" style="323" customWidth="1"/>
    <col min="9991" max="9991" width="12" style="323" customWidth="1"/>
    <col min="9992" max="10241" width="8.88671875" style="323"/>
    <col min="10242" max="10242" width="29.88671875" style="323" customWidth="1"/>
    <col min="10243" max="10243" width="9.109375" style="323" customWidth="1"/>
    <col min="10244" max="10244" width="10.88671875" style="323" customWidth="1"/>
    <col min="10245" max="10245" width="12.109375" style="323" customWidth="1"/>
    <col min="10246" max="10246" width="15.44140625" style="323" customWidth="1"/>
    <col min="10247" max="10247" width="12" style="323" customWidth="1"/>
    <col min="10248" max="10497" width="8.88671875" style="323"/>
    <col min="10498" max="10498" width="29.88671875" style="323" customWidth="1"/>
    <col min="10499" max="10499" width="9.109375" style="323" customWidth="1"/>
    <col min="10500" max="10500" width="10.88671875" style="323" customWidth="1"/>
    <col min="10501" max="10501" width="12.109375" style="323" customWidth="1"/>
    <col min="10502" max="10502" width="15.44140625" style="323" customWidth="1"/>
    <col min="10503" max="10503" width="12" style="323" customWidth="1"/>
    <col min="10504" max="10753" width="8.88671875" style="323"/>
    <col min="10754" max="10754" width="29.88671875" style="323" customWidth="1"/>
    <col min="10755" max="10755" width="9.109375" style="323" customWidth="1"/>
    <col min="10756" max="10756" width="10.88671875" style="323" customWidth="1"/>
    <col min="10757" max="10757" width="12.109375" style="323" customWidth="1"/>
    <col min="10758" max="10758" width="15.44140625" style="323" customWidth="1"/>
    <col min="10759" max="10759" width="12" style="323" customWidth="1"/>
    <col min="10760" max="11009" width="8.88671875" style="323"/>
    <col min="11010" max="11010" width="29.88671875" style="323" customWidth="1"/>
    <col min="11011" max="11011" width="9.109375" style="323" customWidth="1"/>
    <col min="11012" max="11012" width="10.88671875" style="323" customWidth="1"/>
    <col min="11013" max="11013" width="12.109375" style="323" customWidth="1"/>
    <col min="11014" max="11014" width="15.44140625" style="323" customWidth="1"/>
    <col min="11015" max="11015" width="12" style="323" customWidth="1"/>
    <col min="11016" max="11265" width="8.88671875" style="323"/>
    <col min="11266" max="11266" width="29.88671875" style="323" customWidth="1"/>
    <col min="11267" max="11267" width="9.109375" style="323" customWidth="1"/>
    <col min="11268" max="11268" width="10.88671875" style="323" customWidth="1"/>
    <col min="11269" max="11269" width="12.109375" style="323" customWidth="1"/>
    <col min="11270" max="11270" width="15.44140625" style="323" customWidth="1"/>
    <col min="11271" max="11271" width="12" style="323" customWidth="1"/>
    <col min="11272" max="11521" width="8.88671875" style="323"/>
    <col min="11522" max="11522" width="29.88671875" style="323" customWidth="1"/>
    <col min="11523" max="11523" width="9.109375" style="323" customWidth="1"/>
    <col min="11524" max="11524" width="10.88671875" style="323" customWidth="1"/>
    <col min="11525" max="11525" width="12.109375" style="323" customWidth="1"/>
    <col min="11526" max="11526" width="15.44140625" style="323" customWidth="1"/>
    <col min="11527" max="11527" width="12" style="323" customWidth="1"/>
    <col min="11528" max="11777" width="8.88671875" style="323"/>
    <col min="11778" max="11778" width="29.88671875" style="323" customWidth="1"/>
    <col min="11779" max="11779" width="9.109375" style="323" customWidth="1"/>
    <col min="11780" max="11780" width="10.88671875" style="323" customWidth="1"/>
    <col min="11781" max="11781" width="12.109375" style="323" customWidth="1"/>
    <col min="11782" max="11782" width="15.44140625" style="323" customWidth="1"/>
    <col min="11783" max="11783" width="12" style="323" customWidth="1"/>
    <col min="11784" max="12033" width="8.88671875" style="323"/>
    <col min="12034" max="12034" width="29.88671875" style="323" customWidth="1"/>
    <col min="12035" max="12035" width="9.109375" style="323" customWidth="1"/>
    <col min="12036" max="12036" width="10.88671875" style="323" customWidth="1"/>
    <col min="12037" max="12037" width="12.109375" style="323" customWidth="1"/>
    <col min="12038" max="12038" width="15.44140625" style="323" customWidth="1"/>
    <col min="12039" max="12039" width="12" style="323" customWidth="1"/>
    <col min="12040" max="12289" width="8.88671875" style="323"/>
    <col min="12290" max="12290" width="29.88671875" style="323" customWidth="1"/>
    <col min="12291" max="12291" width="9.109375" style="323" customWidth="1"/>
    <col min="12292" max="12292" width="10.88671875" style="323" customWidth="1"/>
    <col min="12293" max="12293" width="12.109375" style="323" customWidth="1"/>
    <col min="12294" max="12294" width="15.44140625" style="323" customWidth="1"/>
    <col min="12295" max="12295" width="12" style="323" customWidth="1"/>
    <col min="12296" max="12545" width="8.88671875" style="323"/>
    <col min="12546" max="12546" width="29.88671875" style="323" customWidth="1"/>
    <col min="12547" max="12547" width="9.109375" style="323" customWidth="1"/>
    <col min="12548" max="12548" width="10.88671875" style="323" customWidth="1"/>
    <col min="12549" max="12549" width="12.109375" style="323" customWidth="1"/>
    <col min="12550" max="12550" width="15.44140625" style="323" customWidth="1"/>
    <col min="12551" max="12551" width="12" style="323" customWidth="1"/>
    <col min="12552" max="12801" width="8.88671875" style="323"/>
    <col min="12802" max="12802" width="29.88671875" style="323" customWidth="1"/>
    <col min="12803" max="12803" width="9.109375" style="323" customWidth="1"/>
    <col min="12804" max="12804" width="10.88671875" style="323" customWidth="1"/>
    <col min="12805" max="12805" width="12.109375" style="323" customWidth="1"/>
    <col min="12806" max="12806" width="15.44140625" style="323" customWidth="1"/>
    <col min="12807" max="12807" width="12" style="323" customWidth="1"/>
    <col min="12808" max="13057" width="8.88671875" style="323"/>
    <col min="13058" max="13058" width="29.88671875" style="323" customWidth="1"/>
    <col min="13059" max="13059" width="9.109375" style="323" customWidth="1"/>
    <col min="13060" max="13060" width="10.88671875" style="323" customWidth="1"/>
    <col min="13061" max="13061" width="12.109375" style="323" customWidth="1"/>
    <col min="13062" max="13062" width="15.44140625" style="323" customWidth="1"/>
    <col min="13063" max="13063" width="12" style="323" customWidth="1"/>
    <col min="13064" max="13313" width="8.88671875" style="323"/>
    <col min="13314" max="13314" width="29.88671875" style="323" customWidth="1"/>
    <col min="13315" max="13315" width="9.109375" style="323" customWidth="1"/>
    <col min="13316" max="13316" width="10.88671875" style="323" customWidth="1"/>
    <col min="13317" max="13317" width="12.109375" style="323" customWidth="1"/>
    <col min="13318" max="13318" width="15.44140625" style="323" customWidth="1"/>
    <col min="13319" max="13319" width="12" style="323" customWidth="1"/>
    <col min="13320" max="13569" width="8.88671875" style="323"/>
    <col min="13570" max="13570" width="29.88671875" style="323" customWidth="1"/>
    <col min="13571" max="13571" width="9.109375" style="323" customWidth="1"/>
    <col min="13572" max="13572" width="10.88671875" style="323" customWidth="1"/>
    <col min="13573" max="13573" width="12.109375" style="323" customWidth="1"/>
    <col min="13574" max="13574" width="15.44140625" style="323" customWidth="1"/>
    <col min="13575" max="13575" width="12" style="323" customWidth="1"/>
    <col min="13576" max="13825" width="8.88671875" style="323"/>
    <col min="13826" max="13826" width="29.88671875" style="323" customWidth="1"/>
    <col min="13827" max="13827" width="9.109375" style="323" customWidth="1"/>
    <col min="13828" max="13828" width="10.88671875" style="323" customWidth="1"/>
    <col min="13829" max="13829" width="12.109375" style="323" customWidth="1"/>
    <col min="13830" max="13830" width="15.44140625" style="323" customWidth="1"/>
    <col min="13831" max="13831" width="12" style="323" customWidth="1"/>
    <col min="13832" max="14081" width="8.88671875" style="323"/>
    <col min="14082" max="14082" width="29.88671875" style="323" customWidth="1"/>
    <col min="14083" max="14083" width="9.109375" style="323" customWidth="1"/>
    <col min="14084" max="14084" width="10.88671875" style="323" customWidth="1"/>
    <col min="14085" max="14085" width="12.109375" style="323" customWidth="1"/>
    <col min="14086" max="14086" width="15.44140625" style="323" customWidth="1"/>
    <col min="14087" max="14087" width="12" style="323" customWidth="1"/>
    <col min="14088" max="14337" width="8.88671875" style="323"/>
    <col min="14338" max="14338" width="29.88671875" style="323" customWidth="1"/>
    <col min="14339" max="14339" width="9.109375" style="323" customWidth="1"/>
    <col min="14340" max="14340" width="10.88671875" style="323" customWidth="1"/>
    <col min="14341" max="14341" width="12.109375" style="323" customWidth="1"/>
    <col min="14342" max="14342" width="15.44140625" style="323" customWidth="1"/>
    <col min="14343" max="14343" width="12" style="323" customWidth="1"/>
    <col min="14344" max="14593" width="8.88671875" style="323"/>
    <col min="14594" max="14594" width="29.88671875" style="323" customWidth="1"/>
    <col min="14595" max="14595" width="9.109375" style="323" customWidth="1"/>
    <col min="14596" max="14596" width="10.88671875" style="323" customWidth="1"/>
    <col min="14597" max="14597" width="12.109375" style="323" customWidth="1"/>
    <col min="14598" max="14598" width="15.44140625" style="323" customWidth="1"/>
    <col min="14599" max="14599" width="12" style="323" customWidth="1"/>
    <col min="14600" max="14849" width="8.88671875" style="323"/>
    <col min="14850" max="14850" width="29.88671875" style="323" customWidth="1"/>
    <col min="14851" max="14851" width="9.109375" style="323" customWidth="1"/>
    <col min="14852" max="14852" width="10.88671875" style="323" customWidth="1"/>
    <col min="14853" max="14853" width="12.109375" style="323" customWidth="1"/>
    <col min="14854" max="14854" width="15.44140625" style="323" customWidth="1"/>
    <col min="14855" max="14855" width="12" style="323" customWidth="1"/>
    <col min="14856" max="15105" width="8.88671875" style="323"/>
    <col min="15106" max="15106" width="29.88671875" style="323" customWidth="1"/>
    <col min="15107" max="15107" width="9.109375" style="323" customWidth="1"/>
    <col min="15108" max="15108" width="10.88671875" style="323" customWidth="1"/>
    <col min="15109" max="15109" width="12.109375" style="323" customWidth="1"/>
    <col min="15110" max="15110" width="15.44140625" style="323" customWidth="1"/>
    <col min="15111" max="15111" width="12" style="323" customWidth="1"/>
    <col min="15112" max="15361" width="8.88671875" style="323"/>
    <col min="15362" max="15362" width="29.88671875" style="323" customWidth="1"/>
    <col min="15363" max="15363" width="9.109375" style="323" customWidth="1"/>
    <col min="15364" max="15364" width="10.88671875" style="323" customWidth="1"/>
    <col min="15365" max="15365" width="12.109375" style="323" customWidth="1"/>
    <col min="15366" max="15366" width="15.44140625" style="323" customWidth="1"/>
    <col min="15367" max="15367" width="12" style="323" customWidth="1"/>
    <col min="15368" max="15617" width="8.88671875" style="323"/>
    <col min="15618" max="15618" width="29.88671875" style="323" customWidth="1"/>
    <col min="15619" max="15619" width="9.109375" style="323" customWidth="1"/>
    <col min="15620" max="15620" width="10.88671875" style="323" customWidth="1"/>
    <col min="15621" max="15621" width="12.109375" style="323" customWidth="1"/>
    <col min="15622" max="15622" width="15.44140625" style="323" customWidth="1"/>
    <col min="15623" max="15623" width="12" style="323" customWidth="1"/>
    <col min="15624" max="15873" width="8.88671875" style="323"/>
    <col min="15874" max="15874" width="29.88671875" style="323" customWidth="1"/>
    <col min="15875" max="15875" width="9.109375" style="323" customWidth="1"/>
    <col min="15876" max="15876" width="10.88671875" style="323" customWidth="1"/>
    <col min="15877" max="15877" width="12.109375" style="323" customWidth="1"/>
    <col min="15878" max="15878" width="15.44140625" style="323" customWidth="1"/>
    <col min="15879" max="15879" width="12" style="323" customWidth="1"/>
    <col min="15880" max="16129" width="8.88671875" style="323"/>
    <col min="16130" max="16130" width="29.88671875" style="323" customWidth="1"/>
    <col min="16131" max="16131" width="9.109375" style="323" customWidth="1"/>
    <col min="16132" max="16132" width="10.88671875" style="323" customWidth="1"/>
    <col min="16133" max="16133" width="12.109375" style="323" customWidth="1"/>
    <col min="16134" max="16134" width="15.44140625" style="323" customWidth="1"/>
    <col min="16135" max="16135" width="12" style="323" customWidth="1"/>
    <col min="16136" max="16384" width="8.88671875" style="323"/>
  </cols>
  <sheetData>
    <row r="1" spans="1:15" ht="13.8" thickBot="1" x14ac:dyDescent="0.3">
      <c r="A1" s="516" t="s">
        <v>280</v>
      </c>
      <c r="B1" s="516"/>
      <c r="C1" s="516"/>
      <c r="D1" s="516"/>
      <c r="E1" s="516"/>
      <c r="F1" s="516"/>
      <c r="G1" s="516"/>
    </row>
    <row r="2" spans="1:15" s="324" customFormat="1" ht="53.4" thickBot="1" x14ac:dyDescent="0.35">
      <c r="A2" s="160" t="s">
        <v>83</v>
      </c>
      <c r="B2" s="161" t="s">
        <v>84</v>
      </c>
      <c r="C2" s="161" t="s">
        <v>85</v>
      </c>
      <c r="D2" s="161" t="s">
        <v>281</v>
      </c>
      <c r="E2" s="161" t="s">
        <v>282</v>
      </c>
      <c r="F2" s="161" t="s">
        <v>283</v>
      </c>
      <c r="G2" s="162" t="s">
        <v>284</v>
      </c>
      <c r="J2" s="481" t="s">
        <v>127</v>
      </c>
      <c r="K2" s="481"/>
      <c r="L2" s="426"/>
      <c r="M2" s="426"/>
      <c r="N2" s="426"/>
      <c r="O2" s="426"/>
    </row>
    <row r="3" spans="1:15" ht="13.2" customHeight="1" x14ac:dyDescent="0.25">
      <c r="A3" s="325" t="str">
        <f>Довідник!$A$96</f>
        <v>Виконавчий директор</v>
      </c>
      <c r="B3" s="326">
        <f>Довідник!B96</f>
        <v>1</v>
      </c>
      <c r="C3" s="326">
        <f>Довідник!C96</f>
        <v>12000</v>
      </c>
      <c r="D3" s="339">
        <v>12</v>
      </c>
      <c r="E3" s="327">
        <f>B3*C3*D3</f>
        <v>144000</v>
      </c>
      <c r="F3" s="327">
        <f>E3*0.22</f>
        <v>31680</v>
      </c>
      <c r="G3" s="328">
        <f t="shared" ref="G3:G8" si="0">E3+F3</f>
        <v>175680</v>
      </c>
      <c r="J3" s="499" t="s">
        <v>285</v>
      </c>
      <c r="K3" s="499"/>
      <c r="L3" s="499"/>
      <c r="M3" s="499"/>
      <c r="N3" s="499"/>
      <c r="O3" s="499"/>
    </row>
    <row r="4" spans="1:15" ht="13.2" customHeight="1" x14ac:dyDescent="0.25">
      <c r="A4" s="313" t="str">
        <f>Довідник!$A$97</f>
        <v>Головний бухгалтер</v>
      </c>
      <c r="B4" s="329">
        <f>Довідник!B97</f>
        <v>1</v>
      </c>
      <c r="C4" s="329">
        <f>Довідник!C97</f>
        <v>10000</v>
      </c>
      <c r="D4" s="340">
        <v>12</v>
      </c>
      <c r="E4" s="330">
        <f t="shared" ref="E4:E8" si="1">B4*C4*D4</f>
        <v>120000</v>
      </c>
      <c r="F4" s="330">
        <f t="shared" ref="F4:F8" si="2">E4*0.22</f>
        <v>26400</v>
      </c>
      <c r="G4" s="331">
        <f t="shared" si="0"/>
        <v>146400</v>
      </c>
      <c r="J4" s="499"/>
      <c r="K4" s="499"/>
      <c r="L4" s="499"/>
      <c r="M4" s="499"/>
      <c r="N4" s="499"/>
      <c r="O4" s="499"/>
    </row>
    <row r="5" spans="1:15" ht="13.2" customHeight="1" x14ac:dyDescent="0.25">
      <c r="A5" s="313" t="str">
        <f>Довідник!$A$98</f>
        <v>Технолог модульного цеху</v>
      </c>
      <c r="B5" s="329">
        <f>Довідник!B98</f>
        <v>1</v>
      </c>
      <c r="C5" s="329">
        <f>Довідник!C98</f>
        <v>10000</v>
      </c>
      <c r="D5" s="340">
        <v>12</v>
      </c>
      <c r="E5" s="330">
        <f t="shared" si="1"/>
        <v>120000</v>
      </c>
      <c r="F5" s="330">
        <f t="shared" si="2"/>
        <v>26400</v>
      </c>
      <c r="G5" s="331">
        <f t="shared" si="0"/>
        <v>146400</v>
      </c>
      <c r="J5" s="499"/>
      <c r="K5" s="499"/>
      <c r="L5" s="499"/>
      <c r="M5" s="499"/>
      <c r="N5" s="499"/>
      <c r="O5" s="499"/>
    </row>
    <row r="6" spans="1:15" ht="26.4" customHeight="1" x14ac:dyDescent="0.3">
      <c r="A6" s="313" t="str">
        <f>Довідник!$A$99</f>
        <v>Оператор модульного цеху переробки молока</v>
      </c>
      <c r="B6" s="329">
        <f>Довідник!B99</f>
        <v>2</v>
      </c>
      <c r="C6" s="329">
        <f>Довідник!C99</f>
        <v>7000</v>
      </c>
      <c r="D6" s="340">
        <v>12</v>
      </c>
      <c r="E6" s="330">
        <f t="shared" si="1"/>
        <v>168000</v>
      </c>
      <c r="F6" s="330">
        <f t="shared" si="2"/>
        <v>36960</v>
      </c>
      <c r="G6" s="331">
        <f t="shared" si="0"/>
        <v>204960</v>
      </c>
      <c r="J6" s="481" t="s">
        <v>212</v>
      </c>
      <c r="K6" s="481"/>
      <c r="L6" s="482"/>
      <c r="M6" s="428"/>
      <c r="N6" s="427"/>
      <c r="O6" s="427"/>
    </row>
    <row r="7" spans="1:15" x14ac:dyDescent="0.25">
      <c r="A7" s="313" t="str">
        <f>Довідник!$A$100</f>
        <v>Водій</v>
      </c>
      <c r="B7" s="329">
        <f>Довідник!B100</f>
        <v>2</v>
      </c>
      <c r="C7" s="329">
        <f>Довідник!C100</f>
        <v>8000</v>
      </c>
      <c r="D7" s="340">
        <v>12</v>
      </c>
      <c r="E7" s="330">
        <f t="shared" si="1"/>
        <v>192000</v>
      </c>
      <c r="F7" s="330">
        <f t="shared" si="2"/>
        <v>42240</v>
      </c>
      <c r="G7" s="331">
        <f t="shared" si="0"/>
        <v>234240</v>
      </c>
      <c r="J7" s="429" t="s">
        <v>286</v>
      </c>
      <c r="K7" s="430"/>
      <c r="L7" s="430"/>
      <c r="M7" s="430"/>
      <c r="N7" s="430"/>
      <c r="O7" s="430"/>
    </row>
    <row r="8" spans="1:15" ht="13.8" thickBot="1" x14ac:dyDescent="0.3">
      <c r="A8" s="318" t="str">
        <f>Довідник!$A$101</f>
        <v>Збиральник молока</v>
      </c>
      <c r="B8" s="332">
        <f>Довідник!B101</f>
        <v>1</v>
      </c>
      <c r="C8" s="332">
        <f>Довідник!C101</f>
        <v>7000</v>
      </c>
      <c r="D8" s="341">
        <v>12</v>
      </c>
      <c r="E8" s="333">
        <f t="shared" si="1"/>
        <v>84000</v>
      </c>
      <c r="F8" s="333">
        <f t="shared" si="2"/>
        <v>18480</v>
      </c>
      <c r="G8" s="334">
        <f t="shared" si="0"/>
        <v>102480</v>
      </c>
    </row>
    <row r="9" spans="1:15" s="338" customFormat="1" ht="13.8" thickBot="1" x14ac:dyDescent="0.3">
      <c r="A9" s="287" t="s">
        <v>63</v>
      </c>
      <c r="B9" s="335">
        <f>SUM(B3:B8)</f>
        <v>8</v>
      </c>
      <c r="C9" s="336">
        <f>E9/B9/12</f>
        <v>8625</v>
      </c>
      <c r="D9" s="336">
        <f t="shared" ref="D9:G9" si="3">SUM(D3:D8)</f>
        <v>72</v>
      </c>
      <c r="E9" s="336">
        <f t="shared" si="3"/>
        <v>828000</v>
      </c>
      <c r="F9" s="336">
        <f t="shared" si="3"/>
        <v>182160</v>
      </c>
      <c r="G9" s="337">
        <f t="shared" si="3"/>
        <v>1010160</v>
      </c>
      <c r="J9" s="514" t="s">
        <v>396</v>
      </c>
      <c r="K9" s="515"/>
      <c r="L9" s="515"/>
      <c r="M9" s="515"/>
      <c r="N9" s="515"/>
      <c r="O9" s="515"/>
    </row>
    <row r="10" spans="1:15" x14ac:dyDescent="0.25">
      <c r="J10" s="515"/>
      <c r="K10" s="515"/>
      <c r="L10" s="515"/>
      <c r="M10" s="515"/>
      <c r="N10" s="515"/>
      <c r="O10" s="515"/>
    </row>
    <row r="11" spans="1:15" ht="13.8" thickBot="1" x14ac:dyDescent="0.3">
      <c r="A11" s="516" t="s">
        <v>280</v>
      </c>
      <c r="B11" s="516"/>
      <c r="C11" s="516"/>
      <c r="D11" s="516"/>
      <c r="E11" s="516"/>
      <c r="F11" s="516"/>
      <c r="G11" s="516"/>
      <c r="J11" s="515"/>
      <c r="K11" s="515"/>
      <c r="L11" s="515"/>
      <c r="M11" s="515"/>
      <c r="N11" s="515"/>
      <c r="O11" s="515"/>
    </row>
    <row r="12" spans="1:15" ht="53.4" thickBot="1" x14ac:dyDescent="0.3">
      <c r="A12" s="160" t="s">
        <v>83</v>
      </c>
      <c r="B12" s="161" t="s">
        <v>84</v>
      </c>
      <c r="C12" s="161" t="s">
        <v>85</v>
      </c>
      <c r="D12" s="161" t="s">
        <v>281</v>
      </c>
      <c r="E12" s="161" t="s">
        <v>282</v>
      </c>
      <c r="F12" s="161" t="s">
        <v>283</v>
      </c>
      <c r="G12" s="162" t="s">
        <v>284</v>
      </c>
      <c r="J12" s="515"/>
      <c r="K12" s="515"/>
      <c r="L12" s="515"/>
      <c r="M12" s="515"/>
      <c r="N12" s="515"/>
      <c r="O12" s="515"/>
    </row>
    <row r="13" spans="1:15" x14ac:dyDescent="0.25">
      <c r="A13" s="325" t="str">
        <f>Довідник!$A$96</f>
        <v>Виконавчий директор</v>
      </c>
      <c r="B13" s="326">
        <f>Довідник!D96</f>
        <v>1</v>
      </c>
      <c r="C13" s="326">
        <f>Довідник!E96</f>
        <v>13200</v>
      </c>
      <c r="D13" s="339">
        <v>12</v>
      </c>
      <c r="E13" s="327">
        <f>B13*C13*D13</f>
        <v>158400</v>
      </c>
      <c r="F13" s="327">
        <f>E13*0.22</f>
        <v>34848</v>
      </c>
      <c r="G13" s="328">
        <f t="shared" ref="G13:G18" si="4">E13+F13</f>
        <v>193248</v>
      </c>
      <c r="J13" s="515"/>
      <c r="K13" s="515"/>
      <c r="L13" s="515"/>
      <c r="M13" s="515"/>
      <c r="N13" s="515"/>
      <c r="O13" s="515"/>
    </row>
    <row r="14" spans="1:15" x14ac:dyDescent="0.25">
      <c r="A14" s="313" t="str">
        <f>Довідник!$A$97</f>
        <v>Головний бухгалтер</v>
      </c>
      <c r="B14" s="329">
        <f>Довідник!D97</f>
        <v>1</v>
      </c>
      <c r="C14" s="329">
        <f>Довідник!E97</f>
        <v>11000</v>
      </c>
      <c r="D14" s="340">
        <v>12</v>
      </c>
      <c r="E14" s="330">
        <f t="shared" ref="E14:E18" si="5">B14*C14*D14</f>
        <v>132000</v>
      </c>
      <c r="F14" s="330">
        <f t="shared" ref="F14:F18" si="6">E14*0.22</f>
        <v>29040</v>
      </c>
      <c r="G14" s="331">
        <f t="shared" si="4"/>
        <v>161040</v>
      </c>
      <c r="J14" s="515"/>
      <c r="K14" s="515"/>
      <c r="L14" s="515"/>
      <c r="M14" s="515"/>
      <c r="N14" s="515"/>
      <c r="O14" s="515"/>
    </row>
    <row r="15" spans="1:15" x14ac:dyDescent="0.25">
      <c r="A15" s="313" t="str">
        <f>Довідник!$A$98</f>
        <v>Технолог модульного цеху</v>
      </c>
      <c r="B15" s="329">
        <f>Довідник!D98</f>
        <v>1</v>
      </c>
      <c r="C15" s="329">
        <f>Довідник!E98</f>
        <v>11000</v>
      </c>
      <c r="D15" s="340">
        <v>12</v>
      </c>
      <c r="E15" s="330">
        <f t="shared" si="5"/>
        <v>132000</v>
      </c>
      <c r="F15" s="330">
        <f t="shared" si="6"/>
        <v>29040</v>
      </c>
      <c r="G15" s="331">
        <f t="shared" si="4"/>
        <v>161040</v>
      </c>
      <c r="J15" s="515"/>
      <c r="K15" s="515"/>
      <c r="L15" s="515"/>
      <c r="M15" s="515"/>
      <c r="N15" s="515"/>
      <c r="O15" s="515"/>
    </row>
    <row r="16" spans="1:15" ht="26.4" x14ac:dyDescent="0.25">
      <c r="A16" s="313" t="str">
        <f>Довідник!$A$99</f>
        <v>Оператор модульного цеху переробки молока</v>
      </c>
      <c r="B16" s="329">
        <f>Довідник!D99</f>
        <v>2</v>
      </c>
      <c r="C16" s="329">
        <f>Довідник!E99</f>
        <v>8000</v>
      </c>
      <c r="D16" s="340">
        <v>12</v>
      </c>
      <c r="E16" s="330">
        <f t="shared" si="5"/>
        <v>192000</v>
      </c>
      <c r="F16" s="330">
        <f t="shared" si="6"/>
        <v>42240</v>
      </c>
      <c r="G16" s="331">
        <f t="shared" si="4"/>
        <v>234240</v>
      </c>
      <c r="J16" s="515"/>
      <c r="K16" s="515"/>
      <c r="L16" s="515"/>
      <c r="M16" s="515"/>
      <c r="N16" s="515"/>
      <c r="O16" s="515"/>
    </row>
    <row r="17" spans="1:15" x14ac:dyDescent="0.25">
      <c r="A17" s="313" t="str">
        <f>Довідник!$A$100</f>
        <v>Водій</v>
      </c>
      <c r="B17" s="329">
        <f>Довідник!D100</f>
        <v>2</v>
      </c>
      <c r="C17" s="329">
        <f>Довідник!E100</f>
        <v>8800</v>
      </c>
      <c r="D17" s="340">
        <v>12</v>
      </c>
      <c r="E17" s="330">
        <f t="shared" si="5"/>
        <v>211200</v>
      </c>
      <c r="F17" s="330">
        <f t="shared" si="6"/>
        <v>46464</v>
      </c>
      <c r="G17" s="331">
        <f t="shared" si="4"/>
        <v>257664</v>
      </c>
      <c r="J17" s="515"/>
      <c r="K17" s="515"/>
      <c r="L17" s="515"/>
      <c r="M17" s="515"/>
      <c r="N17" s="515"/>
      <c r="O17" s="515"/>
    </row>
    <row r="18" spans="1:15" ht="13.8" thickBot="1" x14ac:dyDescent="0.3">
      <c r="A18" s="318" t="str">
        <f>Довідник!$A$101</f>
        <v>Збиральник молока</v>
      </c>
      <c r="B18" s="332">
        <f>Довідник!D101</f>
        <v>1</v>
      </c>
      <c r="C18" s="332">
        <f>Довідник!E101</f>
        <v>7700</v>
      </c>
      <c r="D18" s="341">
        <v>12</v>
      </c>
      <c r="E18" s="333">
        <f t="shared" si="5"/>
        <v>92400</v>
      </c>
      <c r="F18" s="333">
        <f t="shared" si="6"/>
        <v>20328</v>
      </c>
      <c r="G18" s="334">
        <f t="shared" si="4"/>
        <v>112728</v>
      </c>
      <c r="J18" s="515"/>
      <c r="K18" s="515"/>
      <c r="L18" s="515"/>
      <c r="M18" s="515"/>
      <c r="N18" s="515"/>
      <c r="O18" s="515"/>
    </row>
    <row r="19" spans="1:15" s="338" customFormat="1" ht="13.8" thickBot="1" x14ac:dyDescent="0.3">
      <c r="A19" s="287" t="s">
        <v>63</v>
      </c>
      <c r="B19" s="335">
        <f>SUM(B13:B18)</f>
        <v>8</v>
      </c>
      <c r="C19" s="336">
        <f>E19/B19/12</f>
        <v>9562.5</v>
      </c>
      <c r="D19" s="336">
        <f t="shared" ref="D19" si="7">SUM(D13:D18)</f>
        <v>72</v>
      </c>
      <c r="E19" s="336">
        <f t="shared" ref="E19" si="8">SUM(E13:E18)</f>
        <v>918000</v>
      </c>
      <c r="F19" s="336">
        <f t="shared" ref="F19" si="9">SUM(F13:F18)</f>
        <v>201960</v>
      </c>
      <c r="G19" s="337">
        <f t="shared" ref="G19" si="10">SUM(G13:G18)</f>
        <v>1119960</v>
      </c>
    </row>
    <row r="21" spans="1:15" ht="13.8" thickBot="1" x14ac:dyDescent="0.3">
      <c r="A21" s="516" t="s">
        <v>280</v>
      </c>
      <c r="B21" s="516"/>
      <c r="C21" s="516"/>
      <c r="D21" s="516"/>
      <c r="E21" s="516"/>
      <c r="F21" s="516"/>
      <c r="G21" s="516"/>
    </row>
    <row r="22" spans="1:15" ht="53.4" thickBot="1" x14ac:dyDescent="0.3">
      <c r="A22" s="160" t="s">
        <v>83</v>
      </c>
      <c r="B22" s="161" t="s">
        <v>84</v>
      </c>
      <c r="C22" s="161" t="s">
        <v>85</v>
      </c>
      <c r="D22" s="161" t="s">
        <v>281</v>
      </c>
      <c r="E22" s="161" t="s">
        <v>282</v>
      </c>
      <c r="F22" s="161" t="s">
        <v>283</v>
      </c>
      <c r="G22" s="162" t="s">
        <v>284</v>
      </c>
    </row>
    <row r="23" spans="1:15" x14ac:dyDescent="0.25">
      <c r="A23" s="325" t="str">
        <f>Довідник!$A$96</f>
        <v>Виконавчий директор</v>
      </c>
      <c r="B23" s="326">
        <f>Довідник!F96</f>
        <v>1</v>
      </c>
      <c r="C23" s="326">
        <f>Довідник!G96</f>
        <v>14500</v>
      </c>
      <c r="D23" s="339">
        <v>12</v>
      </c>
      <c r="E23" s="327">
        <f>B23*C23*D23</f>
        <v>174000</v>
      </c>
      <c r="F23" s="327">
        <f>E23*0.22</f>
        <v>38280</v>
      </c>
      <c r="G23" s="328">
        <f t="shared" ref="G23:G28" si="11">E23+F23</f>
        <v>212280</v>
      </c>
    </row>
    <row r="24" spans="1:15" x14ac:dyDescent="0.25">
      <c r="A24" s="313" t="str">
        <f>Довідник!$A$97</f>
        <v>Головний бухгалтер</v>
      </c>
      <c r="B24" s="329">
        <f>Довідник!F97</f>
        <v>1</v>
      </c>
      <c r="C24" s="329">
        <f>Довідник!G97</f>
        <v>12000</v>
      </c>
      <c r="D24" s="340">
        <v>12</v>
      </c>
      <c r="E24" s="330">
        <f t="shared" ref="E24:E28" si="12">B24*C24*D24</f>
        <v>144000</v>
      </c>
      <c r="F24" s="330">
        <f t="shared" ref="F24:F28" si="13">E24*0.22</f>
        <v>31680</v>
      </c>
      <c r="G24" s="331">
        <f t="shared" si="11"/>
        <v>175680</v>
      </c>
    </row>
    <row r="25" spans="1:15" x14ac:dyDescent="0.25">
      <c r="A25" s="313" t="str">
        <f>Довідник!$A$98</f>
        <v>Технолог модульного цеху</v>
      </c>
      <c r="B25" s="329">
        <f>Довідник!F98</f>
        <v>1</v>
      </c>
      <c r="C25" s="329">
        <f>Довідник!G98</f>
        <v>12000</v>
      </c>
      <c r="D25" s="340">
        <v>12</v>
      </c>
      <c r="E25" s="330">
        <f t="shared" si="12"/>
        <v>144000</v>
      </c>
      <c r="F25" s="330">
        <f t="shared" si="13"/>
        <v>31680</v>
      </c>
      <c r="G25" s="331">
        <f t="shared" si="11"/>
        <v>175680</v>
      </c>
    </row>
    <row r="26" spans="1:15" ht="26.4" x14ac:dyDescent="0.25">
      <c r="A26" s="313" t="str">
        <f>Довідник!$A$99</f>
        <v>Оператор модульного цеху переробки молока</v>
      </c>
      <c r="B26" s="329">
        <f>Довідник!F99</f>
        <v>2</v>
      </c>
      <c r="C26" s="329">
        <f>Довідник!G99</f>
        <v>9000</v>
      </c>
      <c r="D26" s="340">
        <v>12</v>
      </c>
      <c r="E26" s="330">
        <f t="shared" si="12"/>
        <v>216000</v>
      </c>
      <c r="F26" s="330">
        <f t="shared" si="13"/>
        <v>47520</v>
      </c>
      <c r="G26" s="331">
        <f t="shared" si="11"/>
        <v>263520</v>
      </c>
    </row>
    <row r="27" spans="1:15" x14ac:dyDescent="0.25">
      <c r="A27" s="313" t="str">
        <f>Довідник!$A$100</f>
        <v>Водій</v>
      </c>
      <c r="B27" s="329">
        <f>Довідник!F100</f>
        <v>2</v>
      </c>
      <c r="C27" s="329">
        <f>Довідник!G100</f>
        <v>9600</v>
      </c>
      <c r="D27" s="340">
        <v>12</v>
      </c>
      <c r="E27" s="330">
        <f t="shared" si="12"/>
        <v>230400</v>
      </c>
      <c r="F27" s="330">
        <f t="shared" si="13"/>
        <v>50688</v>
      </c>
      <c r="G27" s="331">
        <f t="shared" si="11"/>
        <v>281088</v>
      </c>
    </row>
    <row r="28" spans="1:15" ht="13.8" thickBot="1" x14ac:dyDescent="0.3">
      <c r="A28" s="318" t="str">
        <f>Довідник!$A$101</f>
        <v>Збиральник молока</v>
      </c>
      <c r="B28" s="332">
        <f>Довідник!F101</f>
        <v>1</v>
      </c>
      <c r="C28" s="332">
        <f>Довідник!G101</f>
        <v>8500</v>
      </c>
      <c r="D28" s="341">
        <v>12</v>
      </c>
      <c r="E28" s="333">
        <f t="shared" si="12"/>
        <v>102000</v>
      </c>
      <c r="F28" s="333">
        <f t="shared" si="13"/>
        <v>22440</v>
      </c>
      <c r="G28" s="334">
        <f t="shared" si="11"/>
        <v>124440</v>
      </c>
    </row>
    <row r="29" spans="1:15" s="338" customFormat="1" ht="13.8" thickBot="1" x14ac:dyDescent="0.3">
      <c r="A29" s="287" t="s">
        <v>63</v>
      </c>
      <c r="B29" s="335">
        <f>SUM(B23:B28)</f>
        <v>8</v>
      </c>
      <c r="C29" s="336">
        <f>E29/B29/12</f>
        <v>10525</v>
      </c>
      <c r="D29" s="336">
        <f t="shared" ref="D29" si="14">SUM(D23:D28)</f>
        <v>72</v>
      </c>
      <c r="E29" s="336">
        <f t="shared" ref="E29" si="15">SUM(E23:E28)</f>
        <v>1010400</v>
      </c>
      <c r="F29" s="336">
        <f t="shared" ref="F29" si="16">SUM(F23:F28)</f>
        <v>222288</v>
      </c>
      <c r="G29" s="337">
        <f t="shared" ref="G29" si="17">SUM(G23:G28)</f>
        <v>1232688</v>
      </c>
    </row>
  </sheetData>
  <sheetProtection algorithmName="SHA-512" hashValue="xGX0GUwSI4mWEcWwe+doV3LWfjnBDHXmOKii1ecx+bOulUthLAHovBSlHckz9qPWDvQGxaruxsGIc5b5E6Q4Dg==" saltValue="KYCoHH2rWcGyEHWZi1c/xg==" spinCount="100000" sheet="1" objects="1" scenarios="1"/>
  <mergeCells count="7">
    <mergeCell ref="A1:G1"/>
    <mergeCell ref="A11:G11"/>
    <mergeCell ref="A21:G21"/>
    <mergeCell ref="J2:K2"/>
    <mergeCell ref="J3:O5"/>
    <mergeCell ref="J6:L6"/>
    <mergeCell ref="J9:O18"/>
  </mergeCells>
  <pageMargins left="0.7" right="0.7" top="0.75" bottom="0.75" header="0.3" footer="0.3"/>
  <pageSetup paperSize="9" orientation="portrait" r:id="rId1"/>
  <ignoredErrors>
    <ignoredError sqref="C9 C29 C19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L11"/>
  <sheetViews>
    <sheetView workbookViewId="0">
      <selection activeCell="M10" sqref="M10"/>
    </sheetView>
  </sheetViews>
  <sheetFormatPr defaultColWidth="9.109375" defaultRowHeight="13.2" x14ac:dyDescent="0.25"/>
  <cols>
    <col min="1" max="1" width="26.88671875" style="265" customWidth="1"/>
    <col min="2" max="4" width="9.6640625" style="265" customWidth="1"/>
    <col min="5" max="16384" width="9.109375" style="265"/>
  </cols>
  <sheetData>
    <row r="1" spans="1:12" ht="27" customHeight="1" thickBot="1" x14ac:dyDescent="0.3">
      <c r="A1" s="510" t="s">
        <v>287</v>
      </c>
      <c r="B1" s="510"/>
      <c r="C1" s="510"/>
      <c r="D1" s="510"/>
    </row>
    <row r="2" spans="1:12" ht="32.25" customHeight="1" x14ac:dyDescent="0.3">
      <c r="A2" s="517" t="s">
        <v>83</v>
      </c>
      <c r="B2" s="507" t="s">
        <v>284</v>
      </c>
      <c r="C2" s="507"/>
      <c r="D2" s="519"/>
      <c r="G2" s="481" t="s">
        <v>127</v>
      </c>
      <c r="H2" s="481"/>
      <c r="I2" s="426"/>
      <c r="J2" s="426"/>
      <c r="K2" s="426"/>
      <c r="L2" s="426"/>
    </row>
    <row r="3" spans="1:12" ht="30" customHeight="1" thickBot="1" x14ac:dyDescent="0.3">
      <c r="A3" s="518"/>
      <c r="B3" s="321" t="s">
        <v>48</v>
      </c>
      <c r="C3" s="321" t="s">
        <v>48</v>
      </c>
      <c r="D3" s="322" t="s">
        <v>48</v>
      </c>
      <c r="G3" s="499" t="s">
        <v>388</v>
      </c>
      <c r="H3" s="499"/>
      <c r="I3" s="499"/>
      <c r="J3" s="499"/>
      <c r="K3" s="499"/>
      <c r="L3" s="427"/>
    </row>
    <row r="4" spans="1:12" ht="39.6" x14ac:dyDescent="0.25">
      <c r="A4" s="310" t="s">
        <v>288</v>
      </c>
      <c r="B4" s="311">
        <f>SUM(B6:B11)</f>
        <v>1010160</v>
      </c>
      <c r="C4" s="311">
        <f>SUM(C6:C11)</f>
        <v>1119960</v>
      </c>
      <c r="D4" s="312">
        <f>SUM(D6:D11)</f>
        <v>1232688</v>
      </c>
      <c r="G4" s="512" t="s">
        <v>397</v>
      </c>
      <c r="H4" s="512"/>
      <c r="I4" s="512"/>
      <c r="J4" s="512"/>
      <c r="K4" s="512"/>
      <c r="L4" s="427"/>
    </row>
    <row r="5" spans="1:12" ht="13.2" customHeight="1" x14ac:dyDescent="0.25">
      <c r="A5" s="313" t="s">
        <v>289</v>
      </c>
      <c r="B5" s="314"/>
      <c r="C5" s="314"/>
      <c r="D5" s="315"/>
      <c r="G5" s="512"/>
      <c r="H5" s="512"/>
      <c r="I5" s="512"/>
      <c r="J5" s="512"/>
      <c r="K5" s="512"/>
      <c r="L5" s="427"/>
    </row>
    <row r="6" spans="1:12" x14ac:dyDescent="0.25">
      <c r="A6" s="313" t="str">
        <f>'Фонд ОП'!A3</f>
        <v>Виконавчий директор</v>
      </c>
      <c r="B6" s="316">
        <f>'Фонд ОП'!G3</f>
        <v>175680</v>
      </c>
      <c r="C6" s="316">
        <f>'Фонд ОП'!G13</f>
        <v>193248</v>
      </c>
      <c r="D6" s="317">
        <f>'Фонд ОП'!G23</f>
        <v>212280</v>
      </c>
      <c r="G6" s="512"/>
      <c r="H6" s="512"/>
      <c r="I6" s="512"/>
      <c r="J6" s="512"/>
      <c r="K6" s="512"/>
    </row>
    <row r="7" spans="1:12" x14ac:dyDescent="0.25">
      <c r="A7" s="313" t="str">
        <f>'Фонд ОП'!A4</f>
        <v>Головний бухгалтер</v>
      </c>
      <c r="B7" s="316">
        <f>'Фонд ОП'!G4</f>
        <v>146400</v>
      </c>
      <c r="C7" s="316">
        <f>'Фонд ОП'!G14</f>
        <v>161040</v>
      </c>
      <c r="D7" s="317">
        <f>'Фонд ОП'!G24</f>
        <v>175680</v>
      </c>
      <c r="G7" s="512"/>
      <c r="H7" s="512"/>
      <c r="I7" s="512"/>
      <c r="J7" s="512"/>
      <c r="K7" s="512"/>
    </row>
    <row r="8" spans="1:12" x14ac:dyDescent="0.25">
      <c r="A8" s="313" t="str">
        <f>'Фонд ОП'!A5</f>
        <v>Технолог модульного цеху</v>
      </c>
      <c r="B8" s="316">
        <f>'Фонд ОП'!G5</f>
        <v>146400</v>
      </c>
      <c r="C8" s="316">
        <f>'Фонд ОП'!G15</f>
        <v>161040</v>
      </c>
      <c r="D8" s="317">
        <f>'Фонд ОП'!G25</f>
        <v>175680</v>
      </c>
      <c r="G8" s="512"/>
      <c r="H8" s="512"/>
      <c r="I8" s="512"/>
      <c r="J8" s="512"/>
      <c r="K8" s="512"/>
    </row>
    <row r="9" spans="1:12" ht="26.4" x14ac:dyDescent="0.25">
      <c r="A9" s="313" t="str">
        <f>'Фонд ОП'!A6</f>
        <v>Оператор модульного цеху переробки молока</v>
      </c>
      <c r="B9" s="316">
        <f>'Фонд ОП'!G6</f>
        <v>204960</v>
      </c>
      <c r="C9" s="316">
        <f>'Фонд ОП'!G16</f>
        <v>234240</v>
      </c>
      <c r="D9" s="317">
        <f>'Фонд ОП'!G26</f>
        <v>263520</v>
      </c>
      <c r="G9" s="512"/>
      <c r="H9" s="512"/>
      <c r="I9" s="512"/>
      <c r="J9" s="512"/>
      <c r="K9" s="512"/>
    </row>
    <row r="10" spans="1:12" x14ac:dyDescent="0.25">
      <c r="A10" s="313" t="str">
        <f>'Фонд ОП'!A7</f>
        <v>Водій</v>
      </c>
      <c r="B10" s="316">
        <f>'Фонд ОП'!G7</f>
        <v>234240</v>
      </c>
      <c r="C10" s="316">
        <f>'Фонд ОП'!G17</f>
        <v>257664</v>
      </c>
      <c r="D10" s="317">
        <f>'Фонд ОП'!G27</f>
        <v>281088</v>
      </c>
    </row>
    <row r="11" spans="1:12" ht="13.8" thickBot="1" x14ac:dyDescent="0.3">
      <c r="A11" s="318" t="str">
        <f>'Фонд ОП'!A8</f>
        <v>Збиральник молока</v>
      </c>
      <c r="B11" s="319">
        <f>'Фонд ОП'!G8</f>
        <v>102480</v>
      </c>
      <c r="C11" s="319">
        <f>'Фонд ОП'!G18</f>
        <v>112728</v>
      </c>
      <c r="D11" s="320">
        <f>'Фонд ОП'!G28</f>
        <v>124440</v>
      </c>
    </row>
  </sheetData>
  <sheetProtection algorithmName="SHA-512" hashValue="rLI/CfyGtKmNvObwL5I7LFVEqN0oFhJbab8gwTgULoMeJ/79pUcYeBVxsGjyiFTv8/N17QzXF2r1mAybQCBYUA==" saltValue="/nXCI2d8D21Cy4EpIGv8dw==" spinCount="100000" sheet="1" objects="1" scenarios="1"/>
  <mergeCells count="6">
    <mergeCell ref="G4:K9"/>
    <mergeCell ref="A2:A3"/>
    <mergeCell ref="B2:D2"/>
    <mergeCell ref="A1:D1"/>
    <mergeCell ref="G2:H2"/>
    <mergeCell ref="G3:K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</sheetPr>
  <dimension ref="A1:V115"/>
  <sheetViews>
    <sheetView workbookViewId="0">
      <selection activeCell="Q16" sqref="Q16"/>
    </sheetView>
  </sheetViews>
  <sheetFormatPr defaultColWidth="9.109375" defaultRowHeight="13.2" x14ac:dyDescent="0.25"/>
  <cols>
    <col min="1" max="1" width="20.44140625" style="265" customWidth="1"/>
    <col min="2" max="16384" width="9.109375" style="265"/>
  </cols>
  <sheetData>
    <row r="1" spans="1:22" ht="14.4" customHeight="1" thickBot="1" x14ac:dyDescent="0.3">
      <c r="A1" s="486" t="s">
        <v>290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</row>
    <row r="2" spans="1:22" ht="13.2" customHeight="1" x14ac:dyDescent="0.3">
      <c r="A2" s="487" t="s">
        <v>32</v>
      </c>
      <c r="B2" s="489" t="s">
        <v>33</v>
      </c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1"/>
      <c r="N2" s="492" t="s">
        <v>209</v>
      </c>
      <c r="Q2" s="481" t="s">
        <v>127</v>
      </c>
      <c r="R2" s="481"/>
      <c r="S2" s="426"/>
      <c r="T2" s="426"/>
      <c r="U2" s="426"/>
      <c r="V2" s="426"/>
    </row>
    <row r="3" spans="1:22" ht="13.8" thickBot="1" x14ac:dyDescent="0.3">
      <c r="A3" s="502"/>
      <c r="B3" s="294" t="s">
        <v>34</v>
      </c>
      <c r="C3" s="295" t="s">
        <v>35</v>
      </c>
      <c r="D3" s="295" t="s">
        <v>36</v>
      </c>
      <c r="E3" s="295" t="s">
        <v>37</v>
      </c>
      <c r="F3" s="295" t="s">
        <v>38</v>
      </c>
      <c r="G3" s="295" t="s">
        <v>39</v>
      </c>
      <c r="H3" s="295" t="s">
        <v>40</v>
      </c>
      <c r="I3" s="295" t="s">
        <v>41</v>
      </c>
      <c r="J3" s="295" t="s">
        <v>42</v>
      </c>
      <c r="K3" s="295" t="s">
        <v>43</v>
      </c>
      <c r="L3" s="295" t="s">
        <v>44</v>
      </c>
      <c r="M3" s="295" t="s">
        <v>45</v>
      </c>
      <c r="N3" s="503"/>
      <c r="Q3" s="499" t="s">
        <v>231</v>
      </c>
      <c r="R3" s="499"/>
      <c r="S3" s="499"/>
      <c r="T3" s="499"/>
      <c r="U3" s="499"/>
      <c r="V3" s="499"/>
    </row>
    <row r="4" spans="1:22" s="290" customFormat="1" x14ac:dyDescent="0.25">
      <c r="A4" s="296" t="str">
        <f>'Виробничий план'!A6</f>
        <v>Молоко питне</v>
      </c>
      <c r="B4" s="297">
        <f>'Виробничий план'!B6</f>
        <v>0.28799999999999998</v>
      </c>
      <c r="C4" s="297">
        <f>'Виробничий план'!C6</f>
        <v>0.36799999999999999</v>
      </c>
      <c r="D4" s="297">
        <f>'Виробничий план'!D6</f>
        <v>0.59487999999999996</v>
      </c>
      <c r="E4" s="297">
        <f>'Виробничий план'!E6</f>
        <v>0.84671999999999992</v>
      </c>
      <c r="F4" s="297">
        <f>'Виробничий план'!F6</f>
        <v>1.2143999999999999</v>
      </c>
      <c r="G4" s="297">
        <f>'Виробничий план'!G6</f>
        <v>1.50528</v>
      </c>
      <c r="H4" s="297">
        <f>'Виробничий план'!H6</f>
        <v>1.85856</v>
      </c>
      <c r="I4" s="297">
        <f>'Виробничий план'!I6</f>
        <v>1.8744000000000001</v>
      </c>
      <c r="J4" s="297">
        <f>'Виробничий план'!J6</f>
        <v>1.9051199999999999</v>
      </c>
      <c r="K4" s="297">
        <f>'Виробничий план'!K6</f>
        <v>1.7337600000000004</v>
      </c>
      <c r="L4" s="297">
        <f>'Виробничий план'!L6</f>
        <v>1.456</v>
      </c>
      <c r="M4" s="297">
        <f>'Виробничий план'!M6</f>
        <v>1.3824000000000001</v>
      </c>
      <c r="N4" s="298">
        <f>SUM(B4:M4)</f>
        <v>15.027520000000001</v>
      </c>
      <c r="Q4" s="499"/>
      <c r="R4" s="499"/>
      <c r="S4" s="499"/>
      <c r="T4" s="499"/>
      <c r="U4" s="499"/>
      <c r="V4" s="499"/>
    </row>
    <row r="5" spans="1:22" x14ac:dyDescent="0.25">
      <c r="A5" s="145" t="s">
        <v>291</v>
      </c>
      <c r="B5" s="304">
        <f>B4*Довідник!$B$105</f>
        <v>48.038400000000003</v>
      </c>
      <c r="C5" s="304">
        <f>C4*Довідник!$B$105</f>
        <v>61.382400000000004</v>
      </c>
      <c r="D5" s="304">
        <f>D4*Довідник!$B$105</f>
        <v>99.225983999999997</v>
      </c>
      <c r="E5" s="304">
        <f>E4*Довідник!$B$105</f>
        <v>141.23289599999998</v>
      </c>
      <c r="F5" s="304">
        <f>F4*Довідник!$B$105</f>
        <v>202.56192000000001</v>
      </c>
      <c r="G5" s="304">
        <f>G4*Довідник!$B$105</f>
        <v>251.080704</v>
      </c>
      <c r="H5" s="304">
        <f>H4*Довідник!$B$105</f>
        <v>310.00780800000001</v>
      </c>
      <c r="I5" s="304">
        <f>I4*Довідник!$B$105</f>
        <v>312.64992000000001</v>
      </c>
      <c r="J5" s="304">
        <f>J4*Довідник!$B$105</f>
        <v>317.77401600000002</v>
      </c>
      <c r="K5" s="304">
        <f>K4*Довідник!$B$105</f>
        <v>289.19116800000006</v>
      </c>
      <c r="L5" s="304">
        <f>L4*Довідник!$B$105</f>
        <v>242.86080000000001</v>
      </c>
      <c r="M5" s="304">
        <f>M4*Довідник!$B$105</f>
        <v>230.58432000000002</v>
      </c>
      <c r="N5" s="305">
        <f t="shared" ref="N5:N8" si="0">SUM(B5:M5)</f>
        <v>2506.5903360000002</v>
      </c>
      <c r="Q5" s="499"/>
      <c r="R5" s="499"/>
      <c r="S5" s="499"/>
      <c r="T5" s="499"/>
      <c r="U5" s="499"/>
      <c r="V5" s="499"/>
    </row>
    <row r="6" spans="1:22" x14ac:dyDescent="0.25">
      <c r="A6" s="145" t="s">
        <v>94</v>
      </c>
      <c r="B6" s="304">
        <f>B4*Довідник!$C$105</f>
        <v>9.2159999999999993</v>
      </c>
      <c r="C6" s="304">
        <f>C4*Довідник!$C$105</f>
        <v>11.776</v>
      </c>
      <c r="D6" s="304">
        <f>D4*Довідник!$C$105</f>
        <v>19.036159999999999</v>
      </c>
      <c r="E6" s="304">
        <f>E4*Довідник!$C$105</f>
        <v>27.095039999999997</v>
      </c>
      <c r="F6" s="304">
        <f>F4*Довідник!$C$105</f>
        <v>38.860799999999998</v>
      </c>
      <c r="G6" s="304">
        <f>G4*Довідник!$C$105</f>
        <v>48.168959999999998</v>
      </c>
      <c r="H6" s="304">
        <f>H4*Довідник!$C$105</f>
        <v>59.47392</v>
      </c>
      <c r="I6" s="304">
        <f>I4*Довідник!$C$105</f>
        <v>59.980800000000002</v>
      </c>
      <c r="J6" s="304">
        <f>J4*Довідник!$C$105</f>
        <v>60.963839999999998</v>
      </c>
      <c r="K6" s="304">
        <f>K4*Довідник!$C$105</f>
        <v>55.480320000000013</v>
      </c>
      <c r="L6" s="304">
        <f>L4*Довідник!$C$105</f>
        <v>46.591999999999999</v>
      </c>
      <c r="M6" s="304">
        <f>M4*Довідник!$C$105</f>
        <v>44.236800000000002</v>
      </c>
      <c r="N6" s="305">
        <f t="shared" si="0"/>
        <v>480.88064000000003</v>
      </c>
    </row>
    <row r="7" spans="1:22" ht="13.2" customHeight="1" x14ac:dyDescent="0.25">
      <c r="A7" s="145" t="s">
        <v>95</v>
      </c>
      <c r="B7" s="304">
        <f>B4*Довідник!$D$105</f>
        <v>1.5839999999999999</v>
      </c>
      <c r="C7" s="304">
        <f>C4*Довідник!$D$105</f>
        <v>2.024</v>
      </c>
      <c r="D7" s="304">
        <f>D4*Довідник!$D$105</f>
        <v>3.2718399999999996</v>
      </c>
      <c r="E7" s="304">
        <f>E4*Довідник!$D$105</f>
        <v>4.6569599999999998</v>
      </c>
      <c r="F7" s="304">
        <f>F4*Довідник!$D$105</f>
        <v>6.6791999999999998</v>
      </c>
      <c r="G7" s="304">
        <f>G4*Довідник!$D$105</f>
        <v>8.2790400000000002</v>
      </c>
      <c r="H7" s="304">
        <f>H4*Довідник!$D$105</f>
        <v>10.22208</v>
      </c>
      <c r="I7" s="304">
        <f>I4*Довідник!$D$105</f>
        <v>10.309200000000001</v>
      </c>
      <c r="J7" s="304">
        <f>J4*Довідник!$D$105</f>
        <v>10.478159999999999</v>
      </c>
      <c r="K7" s="304">
        <f>K4*Довідник!$D$105</f>
        <v>9.5356800000000028</v>
      </c>
      <c r="L7" s="304">
        <f>L4*Довідник!$D$105</f>
        <v>8.0079999999999991</v>
      </c>
      <c r="M7" s="304">
        <f>M4*Довідник!$D$105</f>
        <v>7.6032000000000002</v>
      </c>
      <c r="N7" s="305">
        <f t="shared" si="0"/>
        <v>82.651359999999997</v>
      </c>
      <c r="Q7" s="498" t="s">
        <v>398</v>
      </c>
      <c r="R7" s="498"/>
      <c r="S7" s="498"/>
      <c r="T7" s="498"/>
      <c r="U7" s="498"/>
      <c r="V7" s="498"/>
    </row>
    <row r="8" spans="1:22" ht="13.8" thickBot="1" x14ac:dyDescent="0.3">
      <c r="A8" s="145" t="s">
        <v>99</v>
      </c>
      <c r="B8" s="304">
        <f>B4*Довідник!$E$105</f>
        <v>8.0640000000000003E-2</v>
      </c>
      <c r="C8" s="304">
        <f>C4*Довідник!$E$105</f>
        <v>0.10304000000000001</v>
      </c>
      <c r="D8" s="304">
        <f>D4*Довідник!$E$105</f>
        <v>0.1665664</v>
      </c>
      <c r="E8" s="304">
        <f>E4*Довідник!$E$105</f>
        <v>0.2370816</v>
      </c>
      <c r="F8" s="304">
        <f>F4*Довідник!$E$105</f>
        <v>0.340032</v>
      </c>
      <c r="G8" s="304">
        <f>G4*Довідник!$E$105</f>
        <v>0.42147840000000003</v>
      </c>
      <c r="H8" s="304">
        <f>H4*Довідник!$E$105</f>
        <v>0.52039679999999999</v>
      </c>
      <c r="I8" s="304">
        <f>I4*Довідник!$E$105</f>
        <v>0.52483200000000008</v>
      </c>
      <c r="J8" s="304">
        <f>J4*Довідник!$E$105</f>
        <v>0.53343360000000006</v>
      </c>
      <c r="K8" s="304">
        <f>K4*Довідник!$E$105</f>
        <v>0.48545280000000018</v>
      </c>
      <c r="L8" s="304">
        <f>L4*Довідник!$E$105</f>
        <v>0.40768000000000004</v>
      </c>
      <c r="M8" s="304">
        <f>M4*Довідник!$E$105</f>
        <v>0.38707200000000008</v>
      </c>
      <c r="N8" s="305">
        <f t="shared" si="0"/>
        <v>4.2077055999999997</v>
      </c>
      <c r="Q8" s="498"/>
      <c r="R8" s="498"/>
      <c r="S8" s="498"/>
      <c r="T8" s="498"/>
      <c r="U8" s="498"/>
      <c r="V8" s="498"/>
    </row>
    <row r="9" spans="1:22" s="290" customFormat="1" x14ac:dyDescent="0.25">
      <c r="A9" s="296" t="str">
        <f>'Виробничий план'!A8</f>
        <v>Сир кисломолочний</v>
      </c>
      <c r="B9" s="297">
        <f>'Виробничий план'!B8</f>
        <v>9.5999999999999988E-2</v>
      </c>
      <c r="C9" s="297">
        <f>'Виробничий план'!C8</f>
        <v>0.12266666666666666</v>
      </c>
      <c r="D9" s="297">
        <f>'Виробничий план'!D8</f>
        <v>0.19829333333333332</v>
      </c>
      <c r="E9" s="297">
        <f>'Виробничий план'!E8</f>
        <v>0.28223999999999999</v>
      </c>
      <c r="F9" s="297">
        <f>'Виробничий план'!F8</f>
        <v>0.40479999999999999</v>
      </c>
      <c r="G9" s="297">
        <f>'Виробничий план'!G8</f>
        <v>0.50175999999999998</v>
      </c>
      <c r="H9" s="297">
        <f>'Виробничий план'!H8</f>
        <v>0.61951999999999996</v>
      </c>
      <c r="I9" s="297">
        <f>'Виробничий план'!I8</f>
        <v>0.62480000000000002</v>
      </c>
      <c r="J9" s="297">
        <f>'Виробничий план'!J8</f>
        <v>0.63503999999999994</v>
      </c>
      <c r="K9" s="297">
        <f>'Виробничий план'!K8</f>
        <v>0.5779200000000001</v>
      </c>
      <c r="L9" s="297">
        <f>'Виробничий план'!L8</f>
        <v>0.48533333333333334</v>
      </c>
      <c r="M9" s="297">
        <f>'Виробничий план'!M8</f>
        <v>0.46080000000000004</v>
      </c>
      <c r="N9" s="298">
        <f>SUM(B9:M9)</f>
        <v>5.009173333333333</v>
      </c>
      <c r="Q9" s="498"/>
      <c r="R9" s="498"/>
      <c r="S9" s="498"/>
      <c r="T9" s="498"/>
      <c r="U9" s="498"/>
      <c r="V9" s="498"/>
    </row>
    <row r="10" spans="1:22" x14ac:dyDescent="0.25">
      <c r="A10" s="145" t="s">
        <v>291</v>
      </c>
      <c r="B10" s="304">
        <f>B9*Довідник!$B$106</f>
        <v>36.038399999999996</v>
      </c>
      <c r="C10" s="304">
        <f>C9*Довідник!$B$106</f>
        <v>46.049066666666661</v>
      </c>
      <c r="D10" s="304">
        <f>D9*Довідник!$B$106</f>
        <v>74.439317333333321</v>
      </c>
      <c r="E10" s="304">
        <f>E9*Довідник!$B$106</f>
        <v>105.952896</v>
      </c>
      <c r="F10" s="304">
        <f>F9*Довідник!$B$106</f>
        <v>151.96191999999999</v>
      </c>
      <c r="G10" s="304">
        <f>G9*Довідник!$B$106</f>
        <v>188.36070399999997</v>
      </c>
      <c r="H10" s="304">
        <f>H9*Довідник!$B$106</f>
        <v>232.56780799999996</v>
      </c>
      <c r="I10" s="304">
        <f>I9*Довідник!$B$106</f>
        <v>234.54991999999999</v>
      </c>
      <c r="J10" s="304">
        <f>J9*Довідник!$B$106</f>
        <v>238.39401599999997</v>
      </c>
      <c r="K10" s="304">
        <f>K9*Довідник!$B$106</f>
        <v>216.95116800000002</v>
      </c>
      <c r="L10" s="304">
        <f>L9*Довідник!$B$106</f>
        <v>182.19413333333333</v>
      </c>
      <c r="M10" s="304">
        <f>M9*Довідник!$B$106</f>
        <v>172.98432</v>
      </c>
      <c r="N10" s="305">
        <f t="shared" ref="N10:N13" si="1">SUM(B10:M10)</f>
        <v>1880.4436693333332</v>
      </c>
      <c r="Q10" s="498"/>
      <c r="R10" s="498"/>
      <c r="S10" s="498"/>
      <c r="T10" s="498"/>
      <c r="U10" s="498"/>
      <c r="V10" s="498"/>
    </row>
    <row r="11" spans="1:22" x14ac:dyDescent="0.25">
      <c r="A11" s="145" t="s">
        <v>94</v>
      </c>
      <c r="B11" s="304">
        <f>B9*Довідник!$C$106</f>
        <v>12.287999999999998</v>
      </c>
      <c r="C11" s="304">
        <f>C9*Довідник!$C$106</f>
        <v>15.701333333333332</v>
      </c>
      <c r="D11" s="304">
        <f>D9*Довідник!$C$106</f>
        <v>25.381546666666665</v>
      </c>
      <c r="E11" s="304">
        <f>E9*Довідник!$C$106</f>
        <v>36.126719999999999</v>
      </c>
      <c r="F11" s="304">
        <f>F9*Довідник!$C$106</f>
        <v>51.814399999999999</v>
      </c>
      <c r="G11" s="304">
        <f>G9*Довідник!$C$106</f>
        <v>64.225279999999998</v>
      </c>
      <c r="H11" s="304">
        <f>H9*Довідник!$C$106</f>
        <v>79.298559999999995</v>
      </c>
      <c r="I11" s="304">
        <f>I9*Довідник!$C$106</f>
        <v>79.974400000000003</v>
      </c>
      <c r="J11" s="304">
        <f>J9*Довідник!$C$106</f>
        <v>81.285119999999992</v>
      </c>
      <c r="K11" s="304">
        <f>K9*Довідник!$C$106</f>
        <v>73.973760000000013</v>
      </c>
      <c r="L11" s="304">
        <f>L9*Довідник!$C$106</f>
        <v>62.122666666666667</v>
      </c>
      <c r="M11" s="304">
        <f>M9*Довідник!$C$106</f>
        <v>58.982400000000005</v>
      </c>
      <c r="N11" s="305">
        <f t="shared" si="1"/>
        <v>641.17418666666663</v>
      </c>
      <c r="Q11" s="498"/>
      <c r="R11" s="498"/>
      <c r="S11" s="498"/>
      <c r="T11" s="498"/>
      <c r="U11" s="498"/>
      <c r="V11" s="498"/>
    </row>
    <row r="12" spans="1:22" x14ac:dyDescent="0.25">
      <c r="A12" s="145" t="s">
        <v>95</v>
      </c>
      <c r="B12" s="304">
        <f>B9*Довідник!$D$106</f>
        <v>3.5519999999999996</v>
      </c>
      <c r="C12" s="304">
        <f>C9*Довідник!$D$106</f>
        <v>4.5386666666666668</v>
      </c>
      <c r="D12" s="304">
        <f>D9*Довідник!$D$106</f>
        <v>7.336853333333333</v>
      </c>
      <c r="E12" s="304">
        <f>E9*Довідник!$D$106</f>
        <v>10.442879999999999</v>
      </c>
      <c r="F12" s="304">
        <f>F9*Довідник!$D$106</f>
        <v>14.977599999999999</v>
      </c>
      <c r="G12" s="304">
        <f>G9*Довідник!$D$106</f>
        <v>18.56512</v>
      </c>
      <c r="H12" s="304">
        <f>H9*Довідник!$D$106</f>
        <v>22.922239999999999</v>
      </c>
      <c r="I12" s="304">
        <f>I9*Довідник!$D$106</f>
        <v>23.117599999999999</v>
      </c>
      <c r="J12" s="304">
        <f>J9*Довідник!$D$106</f>
        <v>23.496479999999998</v>
      </c>
      <c r="K12" s="304">
        <f>K9*Довідник!$D$106</f>
        <v>21.383040000000005</v>
      </c>
      <c r="L12" s="304">
        <f>L9*Довідник!$D$106</f>
        <v>17.957333333333334</v>
      </c>
      <c r="M12" s="304">
        <f>M9*Довідник!$D$106</f>
        <v>17.049600000000002</v>
      </c>
      <c r="N12" s="305">
        <f t="shared" si="1"/>
        <v>185.33941333333331</v>
      </c>
      <c r="Q12" s="498"/>
      <c r="R12" s="498"/>
      <c r="S12" s="498"/>
      <c r="T12" s="498"/>
      <c r="U12" s="498"/>
      <c r="V12" s="498"/>
    </row>
    <row r="13" spans="1:22" ht="13.8" thickBot="1" x14ac:dyDescent="0.3">
      <c r="A13" s="145" t="s">
        <v>99</v>
      </c>
      <c r="B13" s="304">
        <f>B9*Довідник!$E$106</f>
        <v>0.12287999999999999</v>
      </c>
      <c r="C13" s="304">
        <f>C9*Довідник!$E$106</f>
        <v>0.15701333333333334</v>
      </c>
      <c r="D13" s="304">
        <f>D9*Довідник!$E$106</f>
        <v>0.25381546666666666</v>
      </c>
      <c r="E13" s="304">
        <f>E9*Довідник!$E$106</f>
        <v>0.36126720000000001</v>
      </c>
      <c r="F13" s="304">
        <f>F9*Довідник!$E$106</f>
        <v>0.51814400000000005</v>
      </c>
      <c r="G13" s="304">
        <f>G9*Довідник!$E$106</f>
        <v>0.64225279999999996</v>
      </c>
      <c r="H13" s="304">
        <f>H9*Довідник!$E$106</f>
        <v>0.79298559999999996</v>
      </c>
      <c r="I13" s="304">
        <f>I9*Довідник!$E$106</f>
        <v>0.79974400000000001</v>
      </c>
      <c r="J13" s="304">
        <f>J9*Довідник!$E$106</f>
        <v>0.81285119999999988</v>
      </c>
      <c r="K13" s="304">
        <f>K9*Довідник!$E$106</f>
        <v>0.73973760000000011</v>
      </c>
      <c r="L13" s="304">
        <f>L9*Довідник!$E$106</f>
        <v>0.6212266666666667</v>
      </c>
      <c r="M13" s="304">
        <f>M9*Довідник!$E$106</f>
        <v>0.58982400000000001</v>
      </c>
      <c r="N13" s="305">
        <f t="shared" si="1"/>
        <v>6.4117418666666666</v>
      </c>
      <c r="Q13" s="498"/>
      <c r="R13" s="498"/>
      <c r="S13" s="498"/>
      <c r="T13" s="498"/>
      <c r="U13" s="498"/>
      <c r="V13" s="498"/>
    </row>
    <row r="14" spans="1:22" s="290" customFormat="1" x14ac:dyDescent="0.25">
      <c r="A14" s="296" t="str">
        <f>'Виробничий план'!A10</f>
        <v>Кефір</v>
      </c>
      <c r="B14" s="297">
        <f>'Виробничий план'!B10</f>
        <v>0.8388349514563106</v>
      </c>
      <c r="C14" s="297">
        <f>'Виробничий план'!C10</f>
        <v>1.0718446601941747</v>
      </c>
      <c r="D14" s="297">
        <f>'Виробничий план'!D10</f>
        <v>1.7326601941747573</v>
      </c>
      <c r="E14" s="297">
        <f>'Виробничий план'!E10</f>
        <v>2.4661747572815531</v>
      </c>
      <c r="F14" s="297">
        <f>'Виробничий план'!F10</f>
        <v>3.5370873786407766</v>
      </c>
      <c r="G14" s="297">
        <f>'Виробничий план'!G10</f>
        <v>4.3843106796116507</v>
      </c>
      <c r="H14" s="297">
        <f>'Виробничий план'!H10</f>
        <v>5.4132815533980585</v>
      </c>
      <c r="I14" s="297">
        <f>'Виробничий план'!I10</f>
        <v>5.4594174757281548</v>
      </c>
      <c r="J14" s="297">
        <f>'Виробничий план'!J10</f>
        <v>5.5488932038834955</v>
      </c>
      <c r="K14" s="297">
        <f>'Виробничий план'!K10</f>
        <v>5.0497864077669909</v>
      </c>
      <c r="L14" s="297">
        <f>'Виробничий план'!L10</f>
        <v>4.2407766990291256</v>
      </c>
      <c r="M14" s="297">
        <f>'Виробничий план'!M10</f>
        <v>4.0264077669902916</v>
      </c>
      <c r="N14" s="298">
        <f>SUM(B14:M14)</f>
        <v>43.769475728155342</v>
      </c>
      <c r="Q14" s="498"/>
      <c r="R14" s="498"/>
      <c r="S14" s="498"/>
      <c r="T14" s="498"/>
      <c r="U14" s="498"/>
      <c r="V14" s="498"/>
    </row>
    <row r="15" spans="1:22" x14ac:dyDescent="0.25">
      <c r="A15" s="145" t="s">
        <v>291</v>
      </c>
      <c r="B15" s="304">
        <f>B14*Довідник!$B$107</f>
        <v>194.6935922330097</v>
      </c>
      <c r="C15" s="304">
        <f>C14*Довідник!$B$107</f>
        <v>248.77514563106794</v>
      </c>
      <c r="D15" s="304">
        <f>D14*Довідник!$B$107</f>
        <v>402.15043106796116</v>
      </c>
      <c r="E15" s="304">
        <f>E14*Довідник!$B$107</f>
        <v>572.39916116504844</v>
      </c>
      <c r="F15" s="304">
        <f>F14*Довідник!$B$107</f>
        <v>820.95798058252421</v>
      </c>
      <c r="G15" s="304">
        <f>G14*Довідник!$B$107</f>
        <v>1017.5985087378641</v>
      </c>
      <c r="H15" s="304">
        <f>H14*Довідник!$B$107</f>
        <v>1256.4226485436893</v>
      </c>
      <c r="I15" s="304">
        <f>I14*Довідник!$B$107</f>
        <v>1267.1307961165046</v>
      </c>
      <c r="J15" s="304">
        <f>J14*Довідник!$B$107</f>
        <v>1287.8981126213594</v>
      </c>
      <c r="K15" s="304">
        <f>K14*Довідник!$B$107</f>
        <v>1172.0554252427187</v>
      </c>
      <c r="L15" s="304">
        <f>L14*Довідник!$B$107</f>
        <v>984.28427184466</v>
      </c>
      <c r="M15" s="304">
        <f>M14*Довідник!$B$107</f>
        <v>934.52924271844665</v>
      </c>
      <c r="N15" s="305">
        <f t="shared" ref="N15:N18" si="2">SUM(B15:M15)</f>
        <v>10158.895316504855</v>
      </c>
      <c r="Q15" s="498"/>
      <c r="R15" s="498"/>
      <c r="S15" s="498"/>
      <c r="T15" s="498"/>
      <c r="U15" s="498"/>
      <c r="V15" s="498"/>
    </row>
    <row r="16" spans="1:22" x14ac:dyDescent="0.25">
      <c r="A16" s="145" t="s">
        <v>94</v>
      </c>
      <c r="B16" s="304">
        <f>B14*Довідник!$C$107</f>
        <v>29.359223300970871</v>
      </c>
      <c r="C16" s="304">
        <f>C14*Довідник!$C$107</f>
        <v>37.514563106796111</v>
      </c>
      <c r="D16" s="304">
        <f>D14*Довідник!$C$107</f>
        <v>60.643106796116506</v>
      </c>
      <c r="E16" s="304">
        <f>E14*Довідник!$C$107</f>
        <v>86.316116504854364</v>
      </c>
      <c r="F16" s="304">
        <f>F14*Довідник!$C$107</f>
        <v>123.79805825242718</v>
      </c>
      <c r="G16" s="304">
        <f>G14*Довідник!$C$107</f>
        <v>153.45087378640778</v>
      </c>
      <c r="H16" s="304">
        <f>H14*Довідник!$C$107</f>
        <v>189.46485436893204</v>
      </c>
      <c r="I16" s="304">
        <f>I14*Довідник!$C$107</f>
        <v>191.07961165048542</v>
      </c>
      <c r="J16" s="304">
        <f>J14*Довідник!$C$107</f>
        <v>194.21126213592234</v>
      </c>
      <c r="K16" s="304">
        <f>K14*Довідник!$C$107</f>
        <v>176.74252427184467</v>
      </c>
      <c r="L16" s="304">
        <f>L14*Довідник!$C$107</f>
        <v>148.42718446601938</v>
      </c>
      <c r="M16" s="304">
        <f>M14*Довідник!$C$107</f>
        <v>140.92427184466021</v>
      </c>
      <c r="N16" s="305">
        <f t="shared" si="2"/>
        <v>1531.9316504854369</v>
      </c>
    </row>
    <row r="17" spans="1:14" x14ac:dyDescent="0.25">
      <c r="A17" s="145" t="s">
        <v>95</v>
      </c>
      <c r="B17" s="304">
        <f>B14*Довідник!$D$107</f>
        <v>4.6135922330097081</v>
      </c>
      <c r="C17" s="304">
        <f>C14*Довідник!$D$107</f>
        <v>5.8951456310679609</v>
      </c>
      <c r="D17" s="304">
        <f>D14*Довідник!$D$107</f>
        <v>9.5296310679611658</v>
      </c>
      <c r="E17" s="304">
        <f>E14*Довідник!$D$107</f>
        <v>13.563961165048543</v>
      </c>
      <c r="F17" s="304">
        <f>F14*Довідник!$D$107</f>
        <v>19.45398058252427</v>
      </c>
      <c r="G17" s="304">
        <f>G14*Довідник!$D$107</f>
        <v>24.11370873786408</v>
      </c>
      <c r="H17" s="304">
        <f>H14*Довідник!$D$107</f>
        <v>29.77304854368932</v>
      </c>
      <c r="I17" s="304">
        <f>I14*Довідник!$D$107</f>
        <v>30.026796116504851</v>
      </c>
      <c r="J17" s="304">
        <f>J14*Довідник!$D$107</f>
        <v>30.518912621359224</v>
      </c>
      <c r="K17" s="304">
        <f>K14*Довідник!$D$107</f>
        <v>27.773825242718452</v>
      </c>
      <c r="L17" s="304">
        <f>L14*Довідник!$D$107</f>
        <v>23.324271844660192</v>
      </c>
      <c r="M17" s="304">
        <f>M14*Довідник!$D$107</f>
        <v>22.145242718446603</v>
      </c>
      <c r="N17" s="305">
        <f t="shared" si="2"/>
        <v>240.73211650485436</v>
      </c>
    </row>
    <row r="18" spans="1:14" ht="13.8" thickBot="1" x14ac:dyDescent="0.3">
      <c r="A18" s="145" t="s">
        <v>99</v>
      </c>
      <c r="B18" s="304">
        <f>B14*Довідник!$E$107</f>
        <v>0.56201941747572814</v>
      </c>
      <c r="C18" s="304">
        <f>C14*Довідник!$E$107</f>
        <v>0.71813592233009704</v>
      </c>
      <c r="D18" s="304">
        <f>D14*Довідник!$E$107</f>
        <v>1.1608823300970874</v>
      </c>
      <c r="E18" s="304">
        <f>E14*Довідник!$E$107</f>
        <v>1.6523370873786407</v>
      </c>
      <c r="F18" s="304">
        <f>F14*Довідник!$E$107</f>
        <v>2.3698485436893204</v>
      </c>
      <c r="G18" s="304">
        <f>G14*Довідник!$E$107</f>
        <v>2.937488155339806</v>
      </c>
      <c r="H18" s="304">
        <f>H14*Довідник!$E$107</f>
        <v>3.6268986407766994</v>
      </c>
      <c r="I18" s="304">
        <f>I14*Довідник!$E$107</f>
        <v>3.6578097087378638</v>
      </c>
      <c r="J18" s="304">
        <f>J14*Довідник!$E$107</f>
        <v>3.717758446601942</v>
      </c>
      <c r="K18" s="304">
        <f>K14*Довідник!$E$107</f>
        <v>3.3833568932038842</v>
      </c>
      <c r="L18" s="304">
        <f>L14*Довідник!$E$107</f>
        <v>2.8413203883495144</v>
      </c>
      <c r="M18" s="304">
        <f>M14*Довідник!$E$107</f>
        <v>2.6976932038834955</v>
      </c>
      <c r="N18" s="305">
        <f t="shared" si="2"/>
        <v>29.325548737864082</v>
      </c>
    </row>
    <row r="19" spans="1:14" s="290" customFormat="1" x14ac:dyDescent="0.25">
      <c r="A19" s="296" t="str">
        <f>'Виробничий план'!A12</f>
        <v>Сметана</v>
      </c>
      <c r="B19" s="297">
        <f>'Виробничий план'!B12</f>
        <v>4.1142857142857141E-2</v>
      </c>
      <c r="C19" s="297">
        <f>'Виробничий план'!C12</f>
        <v>5.2571428571428568E-2</v>
      </c>
      <c r="D19" s="297">
        <f>'Виробничий план'!D12</f>
        <v>8.4982857142857138E-2</v>
      </c>
      <c r="E19" s="297">
        <f>'Виробничий план'!E12</f>
        <v>0.12095999999999998</v>
      </c>
      <c r="F19" s="297">
        <f>'Виробничий план'!F12</f>
        <v>0.17348571428571427</v>
      </c>
      <c r="G19" s="297">
        <f>'Виробничий план'!G12</f>
        <v>0.21503999999999998</v>
      </c>
      <c r="H19" s="297">
        <f>'Виробничий план'!H12</f>
        <v>0.26550857142857143</v>
      </c>
      <c r="I19" s="297">
        <f>'Виробничий план'!I12</f>
        <v>0.2677714285714286</v>
      </c>
      <c r="J19" s="297">
        <f>'Виробничий план'!J12</f>
        <v>0.27216000000000001</v>
      </c>
      <c r="K19" s="297">
        <f>'Виробничий план'!K12</f>
        <v>0.24768000000000007</v>
      </c>
      <c r="L19" s="297">
        <f>'Виробничий план'!L12</f>
        <v>0.20799999999999999</v>
      </c>
      <c r="M19" s="297">
        <f>'Виробничий план'!M12</f>
        <v>0.19748571428571429</v>
      </c>
      <c r="N19" s="298">
        <f>SUM(B19:M19)</f>
        <v>2.1467885714285715</v>
      </c>
    </row>
    <row r="20" spans="1:14" x14ac:dyDescent="0.25">
      <c r="A20" s="145" t="s">
        <v>291</v>
      </c>
      <c r="B20" s="304">
        <f>B19*Довідник!$B$108</f>
        <v>14.745599999999998</v>
      </c>
      <c r="C20" s="304">
        <f>C19*Довідник!$B$108</f>
        <v>18.841599999999996</v>
      </c>
      <c r="D20" s="304">
        <f>D19*Довідник!$B$108</f>
        <v>30.457855999999996</v>
      </c>
      <c r="E20" s="304">
        <f>E19*Довідник!$B$108</f>
        <v>43.352063999999991</v>
      </c>
      <c r="F20" s="304">
        <f>F19*Довідник!$B$108</f>
        <v>62.177279999999989</v>
      </c>
      <c r="G20" s="304">
        <f>G19*Довідник!$B$108</f>
        <v>77.070335999999983</v>
      </c>
      <c r="H20" s="304">
        <f>H19*Довідник!$B$108</f>
        <v>95.158271999999997</v>
      </c>
      <c r="I20" s="304">
        <f>I19*Довідник!$B$108</f>
        <v>95.969280000000012</v>
      </c>
      <c r="J20" s="304">
        <f>J19*Довідник!$B$108</f>
        <v>97.542143999999993</v>
      </c>
      <c r="K20" s="304">
        <f>K19*Довідник!$B$108</f>
        <v>88.768512000000015</v>
      </c>
      <c r="L20" s="304">
        <f>L19*Довідник!$B$108</f>
        <v>74.547199999999989</v>
      </c>
      <c r="M20" s="304">
        <f>M19*Довідник!$B$108</f>
        <v>70.778880000000001</v>
      </c>
      <c r="N20" s="305">
        <f t="shared" ref="N20:N23" si="3">SUM(B20:M20)</f>
        <v>769.40902399999993</v>
      </c>
    </row>
    <row r="21" spans="1:14" x14ac:dyDescent="0.25">
      <c r="A21" s="145" t="s">
        <v>94</v>
      </c>
      <c r="B21" s="304">
        <f>B19*Довідник!$C$108</f>
        <v>6.9942857142857138</v>
      </c>
      <c r="C21" s="304">
        <f>C19*Довідник!$C$108</f>
        <v>8.9371428571428559</v>
      </c>
      <c r="D21" s="304">
        <f>D19*Довідник!$C$108</f>
        <v>14.447085714285713</v>
      </c>
      <c r="E21" s="304">
        <f>E19*Довідник!$C$108</f>
        <v>20.563199999999998</v>
      </c>
      <c r="F21" s="304">
        <f>F19*Довідник!$C$108</f>
        <v>29.492571428571427</v>
      </c>
      <c r="G21" s="304">
        <f>G19*Довідник!$C$108</f>
        <v>36.556799999999996</v>
      </c>
      <c r="H21" s="304">
        <f>H19*Довідник!$C$108</f>
        <v>45.13645714285714</v>
      </c>
      <c r="I21" s="304">
        <f>I19*Довідник!$C$108</f>
        <v>45.521142857142863</v>
      </c>
      <c r="J21" s="304">
        <f>J19*Довідник!$C$108</f>
        <v>46.267200000000003</v>
      </c>
      <c r="K21" s="304">
        <f>K19*Довідник!$C$108</f>
        <v>42.10560000000001</v>
      </c>
      <c r="L21" s="304">
        <f>L19*Довідник!$C$108</f>
        <v>35.36</v>
      </c>
      <c r="M21" s="304">
        <f>M19*Довідник!$C$108</f>
        <v>33.572571428571429</v>
      </c>
      <c r="N21" s="305">
        <f t="shared" si="3"/>
        <v>364.95405714285721</v>
      </c>
    </row>
    <row r="22" spans="1:14" x14ac:dyDescent="0.25">
      <c r="A22" s="145" t="s">
        <v>95</v>
      </c>
      <c r="B22" s="304">
        <f>B19*Довідник!$D$108</f>
        <v>1.6045714285714285</v>
      </c>
      <c r="C22" s="304">
        <f>C19*Довідник!$D$108</f>
        <v>2.0502857142857143</v>
      </c>
      <c r="D22" s="304">
        <f>D19*Довідник!$D$108</f>
        <v>3.3143314285714283</v>
      </c>
      <c r="E22" s="304">
        <f>E19*Довідник!$D$108</f>
        <v>4.717439999999999</v>
      </c>
      <c r="F22" s="304">
        <f>F19*Довідник!$D$108</f>
        <v>6.7659428571428561</v>
      </c>
      <c r="G22" s="304">
        <f>G19*Довідник!$D$108</f>
        <v>8.3865599999999993</v>
      </c>
      <c r="H22" s="304">
        <f>H19*Довідник!$D$108</f>
        <v>10.354834285714286</v>
      </c>
      <c r="I22" s="304">
        <f>I19*Довідник!$D$108</f>
        <v>10.443085714285715</v>
      </c>
      <c r="J22" s="304">
        <f>J19*Довідник!$D$108</f>
        <v>10.614240000000001</v>
      </c>
      <c r="K22" s="304">
        <f>K19*Довідник!$D$108</f>
        <v>9.6595200000000023</v>
      </c>
      <c r="L22" s="304">
        <f>L19*Довідник!$D$108</f>
        <v>8.1120000000000001</v>
      </c>
      <c r="M22" s="304">
        <f>M19*Довідник!$D$108</f>
        <v>7.701942857142857</v>
      </c>
      <c r="N22" s="305">
        <f t="shared" si="3"/>
        <v>83.724754285714283</v>
      </c>
    </row>
    <row r="23" spans="1:14" ht="13.8" thickBot="1" x14ac:dyDescent="0.3">
      <c r="A23" s="145" t="s">
        <v>99</v>
      </c>
      <c r="B23" s="304">
        <f>B19*Довідник!$E$108</f>
        <v>6.7474285714285709E-2</v>
      </c>
      <c r="C23" s="304">
        <f>C19*Довідник!$E$108</f>
        <v>8.6217142857142839E-2</v>
      </c>
      <c r="D23" s="304">
        <f>D19*Довідник!$E$108</f>
        <v>0.13937188571428569</v>
      </c>
      <c r="E23" s="304">
        <f>E19*Довідник!$E$108</f>
        <v>0.19837439999999995</v>
      </c>
      <c r="F23" s="304">
        <f>F19*Довідник!$E$108</f>
        <v>0.2845165714285714</v>
      </c>
      <c r="G23" s="304">
        <f>G19*Довідник!$E$108</f>
        <v>0.35266559999999997</v>
      </c>
      <c r="H23" s="304">
        <f>H19*Довідник!$E$108</f>
        <v>0.4354340571428571</v>
      </c>
      <c r="I23" s="304">
        <f>I19*Довідник!$E$108</f>
        <v>0.4391451428571429</v>
      </c>
      <c r="J23" s="304">
        <f>J19*Довідник!$E$108</f>
        <v>0.44634239999999997</v>
      </c>
      <c r="K23" s="304">
        <f>K19*Довідник!$E$108</f>
        <v>0.40619520000000009</v>
      </c>
      <c r="L23" s="304">
        <f>L19*Довідник!$E$108</f>
        <v>0.34111999999999998</v>
      </c>
      <c r="M23" s="304">
        <f>M19*Довідник!$E$108</f>
        <v>0.3238765714285714</v>
      </c>
      <c r="N23" s="305">
        <f t="shared" si="3"/>
        <v>3.5207332571428567</v>
      </c>
    </row>
    <row r="24" spans="1:14" s="290" customFormat="1" x14ac:dyDescent="0.25">
      <c r="A24" s="296" t="str">
        <f>'Виробничий план'!A14</f>
        <v>Сир м'який</v>
      </c>
      <c r="B24" s="297">
        <f>'Виробничий план'!B14</f>
        <v>0.14399999999999999</v>
      </c>
      <c r="C24" s="297">
        <f>'Виробничий план'!C14</f>
        <v>0.18399999999999997</v>
      </c>
      <c r="D24" s="297">
        <f>'Виробничий план'!D14</f>
        <v>0.29743999999999998</v>
      </c>
      <c r="E24" s="297">
        <f>'Виробничий план'!E14</f>
        <v>0.42335999999999996</v>
      </c>
      <c r="F24" s="297">
        <f>'Виробничий план'!F14</f>
        <v>0.60719999999999996</v>
      </c>
      <c r="G24" s="297">
        <f>'Виробничий план'!G14</f>
        <v>0.75263999999999998</v>
      </c>
      <c r="H24" s="297">
        <f>'Виробничий план'!H14</f>
        <v>0.92927999999999999</v>
      </c>
      <c r="I24" s="297">
        <f>'Виробничий план'!I14</f>
        <v>0.93719999999999992</v>
      </c>
      <c r="J24" s="297">
        <f>'Виробничий план'!J14</f>
        <v>0.95256000000000007</v>
      </c>
      <c r="K24" s="297">
        <f>'Виробничий план'!K14</f>
        <v>0.86688000000000009</v>
      </c>
      <c r="L24" s="297">
        <f>'Виробничий план'!L14</f>
        <v>0.72799999999999987</v>
      </c>
      <c r="M24" s="297">
        <f>'Виробничий план'!M14</f>
        <v>0.69120000000000015</v>
      </c>
      <c r="N24" s="298">
        <f t="shared" ref="N24:N28" si="4">SUM(B24:M24)</f>
        <v>7.5137600000000004</v>
      </c>
    </row>
    <row r="25" spans="1:14" x14ac:dyDescent="0.25">
      <c r="A25" s="145" t="s">
        <v>291</v>
      </c>
      <c r="B25" s="304">
        <f>B24*Довідник!$B$109</f>
        <v>103.20479999999999</v>
      </c>
      <c r="C25" s="304">
        <f>C24*Довідник!$B$109</f>
        <v>131.87279999999998</v>
      </c>
      <c r="D25" s="304">
        <f>D24*Довідник!$B$109</f>
        <v>213.17524800000001</v>
      </c>
      <c r="E25" s="304">
        <f>E24*Довідник!$B$109</f>
        <v>303.42211199999997</v>
      </c>
      <c r="F25" s="304">
        <f>F24*Довідник!$B$109</f>
        <v>435.18024000000003</v>
      </c>
      <c r="G25" s="304">
        <f>G24*Довідник!$B$109</f>
        <v>539.41708800000004</v>
      </c>
      <c r="H25" s="304">
        <f>H24*Довідник!$B$109</f>
        <v>666.01497600000005</v>
      </c>
      <c r="I25" s="304">
        <f>I24*Довідник!$B$109</f>
        <v>671.69123999999999</v>
      </c>
      <c r="J25" s="304">
        <f>J24*Довідник!$B$109</f>
        <v>682.6997520000001</v>
      </c>
      <c r="K25" s="304">
        <f>K24*Довідник!$B$109</f>
        <v>621.29289600000016</v>
      </c>
      <c r="L25" s="304">
        <f>L24*Довідник!$B$109</f>
        <v>521.75759999999991</v>
      </c>
      <c r="M25" s="304">
        <f>M24*Довідник!$B$109</f>
        <v>495.38304000000016</v>
      </c>
      <c r="N25" s="306">
        <f t="shared" si="4"/>
        <v>5385.1117919999997</v>
      </c>
    </row>
    <row r="26" spans="1:14" x14ac:dyDescent="0.25">
      <c r="A26" s="145" t="s">
        <v>94</v>
      </c>
      <c r="B26" s="304">
        <f>B24*Довідник!$C$109</f>
        <v>25.919999999999998</v>
      </c>
      <c r="C26" s="304">
        <f>C24*Довідник!$C$109</f>
        <v>33.119999999999997</v>
      </c>
      <c r="D26" s="304">
        <f>D24*Довідник!$C$109</f>
        <v>53.539199999999994</v>
      </c>
      <c r="E26" s="304">
        <f>E24*Довідник!$C$109</f>
        <v>76.204799999999992</v>
      </c>
      <c r="F26" s="304">
        <f>F24*Довідник!$C$109</f>
        <v>109.29599999999999</v>
      </c>
      <c r="G26" s="304">
        <f>G24*Довідник!$C$109</f>
        <v>135.4752</v>
      </c>
      <c r="H26" s="304">
        <f>H24*Довідник!$C$109</f>
        <v>167.2704</v>
      </c>
      <c r="I26" s="304">
        <f>I24*Довідник!$C$109</f>
        <v>168.696</v>
      </c>
      <c r="J26" s="304">
        <f>J24*Довідник!$C$109</f>
        <v>171.46080000000001</v>
      </c>
      <c r="K26" s="304">
        <f>K24*Довідник!$C$109</f>
        <v>156.03840000000002</v>
      </c>
      <c r="L26" s="304">
        <f>L24*Довідник!$C$109</f>
        <v>131.03999999999996</v>
      </c>
      <c r="M26" s="304">
        <f>M24*Довідник!$C$109</f>
        <v>124.41600000000003</v>
      </c>
      <c r="N26" s="306">
        <f t="shared" si="4"/>
        <v>1352.4768000000001</v>
      </c>
    </row>
    <row r="27" spans="1:14" x14ac:dyDescent="0.25">
      <c r="A27" s="145" t="s">
        <v>95</v>
      </c>
      <c r="B27" s="304">
        <f>B24*Довідник!$D$109</f>
        <v>8.6399999999999988</v>
      </c>
      <c r="C27" s="304">
        <f>C24*Довідник!$D$109</f>
        <v>11.039999999999997</v>
      </c>
      <c r="D27" s="304">
        <f>D24*Довідник!$D$109</f>
        <v>17.846399999999999</v>
      </c>
      <c r="E27" s="304">
        <f>E24*Довідник!$D$109</f>
        <v>25.401599999999998</v>
      </c>
      <c r="F27" s="304">
        <f>F24*Довідник!$D$109</f>
        <v>36.431999999999995</v>
      </c>
      <c r="G27" s="304">
        <f>G24*Довідник!$D$109</f>
        <v>45.1584</v>
      </c>
      <c r="H27" s="304">
        <f>H24*Довідник!$D$109</f>
        <v>55.756799999999998</v>
      </c>
      <c r="I27" s="304">
        <f>I24*Довідник!$D$109</f>
        <v>56.231999999999992</v>
      </c>
      <c r="J27" s="304">
        <f>J24*Довідник!$D$109</f>
        <v>57.153600000000004</v>
      </c>
      <c r="K27" s="304">
        <f>K24*Довідник!$D$109</f>
        <v>52.012800000000006</v>
      </c>
      <c r="L27" s="304">
        <f>L24*Довідник!$D$109</f>
        <v>43.679999999999993</v>
      </c>
      <c r="M27" s="304">
        <f>M24*Довідник!$D$109</f>
        <v>41.472000000000008</v>
      </c>
      <c r="N27" s="306">
        <f t="shared" si="4"/>
        <v>450.82560000000001</v>
      </c>
    </row>
    <row r="28" spans="1:14" ht="13.8" thickBot="1" x14ac:dyDescent="0.3">
      <c r="A28" s="145" t="s">
        <v>99</v>
      </c>
      <c r="B28" s="304">
        <f>B24*Довідник!$E$109</f>
        <v>1.2959999999999998</v>
      </c>
      <c r="C28" s="304">
        <f>C24*Довідник!$E$109</f>
        <v>1.6559999999999997</v>
      </c>
      <c r="D28" s="304">
        <f>D24*Довідник!$E$109</f>
        <v>2.6769599999999998</v>
      </c>
      <c r="E28" s="304">
        <f>E24*Довідник!$E$109</f>
        <v>3.8102399999999994</v>
      </c>
      <c r="F28" s="304">
        <f>F24*Довідник!$E$109</f>
        <v>5.4647999999999994</v>
      </c>
      <c r="G28" s="304">
        <f>G24*Довідник!$E$109</f>
        <v>6.7737599999999993</v>
      </c>
      <c r="H28" s="304">
        <f>H24*Довідник!$E$109</f>
        <v>8.3635199999999994</v>
      </c>
      <c r="I28" s="304">
        <f>I24*Довідник!$E$109</f>
        <v>8.4347999999999992</v>
      </c>
      <c r="J28" s="304">
        <f>J24*Довідник!$E$109</f>
        <v>8.5730400000000007</v>
      </c>
      <c r="K28" s="304">
        <f>K24*Довідник!$E$109</f>
        <v>7.8019200000000009</v>
      </c>
      <c r="L28" s="304">
        <f>L24*Довідник!$E$109</f>
        <v>6.5519999999999987</v>
      </c>
      <c r="M28" s="304">
        <f>M24*Довідник!$E$109</f>
        <v>6.2208000000000014</v>
      </c>
      <c r="N28" s="306">
        <f t="shared" si="4"/>
        <v>67.623840000000001</v>
      </c>
    </row>
    <row r="29" spans="1:14" s="290" customFormat="1" x14ac:dyDescent="0.25">
      <c r="A29" s="296" t="str">
        <f>'Виробничий план'!A16</f>
        <v>Сир Рікотта</v>
      </c>
      <c r="B29" s="297">
        <f>'Виробничий план'!B16</f>
        <v>4.4160665742024978E-2</v>
      </c>
      <c r="C29" s="297">
        <f>'Виробничий план'!C16</f>
        <v>5.6427517337031899E-2</v>
      </c>
      <c r="D29" s="297">
        <f>'Виробничий план'!D16</f>
        <v>9.1216308460471587E-2</v>
      </c>
      <c r="E29" s="297">
        <f>'Виробничий план'!E16</f>
        <v>0.12983235728155343</v>
      </c>
      <c r="F29" s="297">
        <f>'Виробничий план'!F16</f>
        <v>0.18621080721220529</v>
      </c>
      <c r="G29" s="297">
        <f>'Виробничий план'!G16</f>
        <v>0.23081307961165043</v>
      </c>
      <c r="H29" s="297">
        <f>'Виробничий план'!H16</f>
        <v>0.28498349625520109</v>
      </c>
      <c r="I29" s="297">
        <f>'Виробничий план'!I16</f>
        <v>0.28741233287101237</v>
      </c>
      <c r="J29" s="297">
        <f>'Виробничий план'!J16</f>
        <v>0.29212280388349521</v>
      </c>
      <c r="K29" s="297">
        <f>'Виробничий план'!K16</f>
        <v>0.26584720776699028</v>
      </c>
      <c r="L29" s="297">
        <f>'Виробничий план'!L16</f>
        <v>0.22325669902912618</v>
      </c>
      <c r="M29" s="297">
        <f>'Виробничий план'!M16</f>
        <v>0.21197119556171981</v>
      </c>
      <c r="N29" s="298">
        <f t="shared" ref="N29:N33" si="5">SUM(B29:M29)</f>
        <v>2.3042544710124826</v>
      </c>
    </row>
    <row r="30" spans="1:14" x14ac:dyDescent="0.25">
      <c r="A30" s="145" t="s">
        <v>291</v>
      </c>
      <c r="B30" s="304">
        <f>B29*Довідник!$B$112</f>
        <v>31.649949137309303</v>
      </c>
      <c r="C30" s="304">
        <f>C29*Довідник!$B$112</f>
        <v>40.441601675450762</v>
      </c>
      <c r="D30" s="304">
        <f>D29*Довідник!$B$112</f>
        <v>65.374728273619994</v>
      </c>
      <c r="E30" s="304">
        <f>E29*Довідник!$B$112</f>
        <v>93.050850463689343</v>
      </c>
      <c r="F30" s="304">
        <f>F29*Довідник!$B$112</f>
        <v>133.45728552898754</v>
      </c>
      <c r="G30" s="304">
        <f>G29*Довідник!$B$112</f>
        <v>165.42373415766988</v>
      </c>
      <c r="H30" s="304">
        <f>H29*Довідник!$B$112</f>
        <v>204.24767176610263</v>
      </c>
      <c r="I30" s="304">
        <f>I29*Довідник!$B$112</f>
        <v>205.98841896865457</v>
      </c>
      <c r="J30" s="304">
        <f>J29*Довідник!$B$112</f>
        <v>209.36441354330103</v>
      </c>
      <c r="K30" s="304">
        <f>K29*Довідник!$B$112</f>
        <v>190.53269380660194</v>
      </c>
      <c r="L30" s="304">
        <f>L29*Довідник!$B$112</f>
        <v>160.00807619417475</v>
      </c>
      <c r="M30" s="304">
        <f>M29*Довідник!$B$112</f>
        <v>151.9197558590846</v>
      </c>
      <c r="N30" s="306">
        <f t="shared" si="5"/>
        <v>1651.4591793746463</v>
      </c>
    </row>
    <row r="31" spans="1:14" x14ac:dyDescent="0.25">
      <c r="A31" s="145" t="s">
        <v>94</v>
      </c>
      <c r="B31" s="304">
        <f>B29*Довідник!$C$112</f>
        <v>7.9489198335644957</v>
      </c>
      <c r="C31" s="304">
        <f>C29*Довідник!$C$112</f>
        <v>10.156953120665742</v>
      </c>
      <c r="D31" s="304">
        <f>D29*Довідник!$C$112</f>
        <v>16.418935522884887</v>
      </c>
      <c r="E31" s="304">
        <f>E29*Довідник!$C$112</f>
        <v>23.369824310679618</v>
      </c>
      <c r="F31" s="304">
        <f>F29*Довідник!$C$112</f>
        <v>33.517945298196949</v>
      </c>
      <c r="G31" s="304">
        <f>G29*Довідник!$C$112</f>
        <v>41.546354330097074</v>
      </c>
      <c r="H31" s="304">
        <f>H29*Довідник!$C$112</f>
        <v>51.297029325936194</v>
      </c>
      <c r="I31" s="304">
        <f>I29*Довідник!$C$112</f>
        <v>51.734219916782223</v>
      </c>
      <c r="J31" s="304">
        <f>J29*Довідник!$C$112</f>
        <v>52.582104699029138</v>
      </c>
      <c r="K31" s="304">
        <f>K29*Довідник!$C$112</f>
        <v>47.852497398058247</v>
      </c>
      <c r="L31" s="304">
        <f>L29*Довідник!$C$112</f>
        <v>40.186205825242709</v>
      </c>
      <c r="M31" s="304">
        <f>M29*Довідник!$C$112</f>
        <v>38.154815201109564</v>
      </c>
      <c r="N31" s="306">
        <f t="shared" si="5"/>
        <v>414.76580478224685</v>
      </c>
    </row>
    <row r="32" spans="1:14" x14ac:dyDescent="0.25">
      <c r="A32" s="145" t="s">
        <v>95</v>
      </c>
      <c r="B32" s="304">
        <f>B29*Довідник!$D$112</f>
        <v>0.44160665742024979</v>
      </c>
      <c r="C32" s="304">
        <f>C29*Довідник!$D$112</f>
        <v>0.56427517337031896</v>
      </c>
      <c r="D32" s="304">
        <f>D29*Довідник!$D$112</f>
        <v>0.91216308460471585</v>
      </c>
      <c r="E32" s="304">
        <f>E29*Довідник!$D$112</f>
        <v>1.2983235728155342</v>
      </c>
      <c r="F32" s="304">
        <f>F29*Довідник!$D$112</f>
        <v>1.8621080721220529</v>
      </c>
      <c r="G32" s="304">
        <f>G29*Довідник!$D$112</f>
        <v>2.3081307961165045</v>
      </c>
      <c r="H32" s="304">
        <f>H29*Довідник!$D$112</f>
        <v>2.849834962552011</v>
      </c>
      <c r="I32" s="304">
        <f>I29*Довідник!$D$112</f>
        <v>2.8741233287101235</v>
      </c>
      <c r="J32" s="304">
        <f>J29*Довідник!$D$112</f>
        <v>2.9212280388349523</v>
      </c>
      <c r="K32" s="304">
        <f>K29*Довідник!$D$112</f>
        <v>2.6584720776699027</v>
      </c>
      <c r="L32" s="304">
        <f>L29*Довідник!$D$112</f>
        <v>2.2325669902912617</v>
      </c>
      <c r="M32" s="304">
        <f>M29*Довідник!$D$112</f>
        <v>2.1197119556171979</v>
      </c>
      <c r="N32" s="306">
        <f t="shared" si="5"/>
        <v>23.042544710124826</v>
      </c>
    </row>
    <row r="33" spans="1:14" ht="13.8" thickBot="1" x14ac:dyDescent="0.3">
      <c r="A33" s="307" t="s">
        <v>99</v>
      </c>
      <c r="B33" s="308">
        <f>B29*Довідник!$E$112</f>
        <v>0.2208033287101249</v>
      </c>
      <c r="C33" s="308">
        <f>C29*Довідник!$E$112</f>
        <v>0.28213758668515948</v>
      </c>
      <c r="D33" s="308">
        <f>D29*Довідник!$E$112</f>
        <v>0.45608154230235792</v>
      </c>
      <c r="E33" s="308">
        <f>E29*Довідник!$E$112</f>
        <v>0.64916178640776712</v>
      </c>
      <c r="F33" s="308">
        <f>F29*Довідник!$E$112</f>
        <v>0.93105403606102644</v>
      </c>
      <c r="G33" s="308">
        <f>G29*Довідник!$E$112</f>
        <v>1.1540653980582523</v>
      </c>
      <c r="H33" s="308">
        <f>H29*Довідник!$E$112</f>
        <v>1.4249174812760055</v>
      </c>
      <c r="I33" s="308">
        <f>I29*Довідник!$E$112</f>
        <v>1.4370616643550618</v>
      </c>
      <c r="J33" s="308">
        <f>J29*Довідник!$E$112</f>
        <v>1.4606140194174762</v>
      </c>
      <c r="K33" s="308">
        <f>K29*Довідник!$E$112</f>
        <v>1.3292360388349513</v>
      </c>
      <c r="L33" s="308">
        <f>L29*Довідник!$E$112</f>
        <v>1.1162834951456309</v>
      </c>
      <c r="M33" s="308">
        <f>M29*Довідник!$E$112</f>
        <v>1.059855977808599</v>
      </c>
      <c r="N33" s="309">
        <f t="shared" si="5"/>
        <v>11.521272355062413</v>
      </c>
    </row>
    <row r="34" spans="1:14" ht="24.6" thickBot="1" x14ac:dyDescent="0.3">
      <c r="A34" s="273" t="s">
        <v>292</v>
      </c>
      <c r="B34" s="274">
        <f>B5+B10+B15+B20+B25+B30</f>
        <v>428.37074137031902</v>
      </c>
      <c r="C34" s="274">
        <f t="shared" ref="C34:N34" si="6">C5+C10+C15+C20+C25+C30</f>
        <v>547.36261397318538</v>
      </c>
      <c r="D34" s="274">
        <f t="shared" si="6"/>
        <v>884.82356467491456</v>
      </c>
      <c r="E34" s="274">
        <f t="shared" si="6"/>
        <v>1259.4099796287378</v>
      </c>
      <c r="F34" s="274">
        <f t="shared" si="6"/>
        <v>1806.2966261115116</v>
      </c>
      <c r="G34" s="274">
        <f t="shared" si="6"/>
        <v>2238.951074895534</v>
      </c>
      <c r="H34" s="274">
        <f t="shared" si="6"/>
        <v>2764.4191843097919</v>
      </c>
      <c r="I34" s="274">
        <f t="shared" si="6"/>
        <v>2787.979575085159</v>
      </c>
      <c r="J34" s="274">
        <f t="shared" si="6"/>
        <v>2833.6724541646604</v>
      </c>
      <c r="K34" s="274">
        <f t="shared" si="6"/>
        <v>2578.7918630493209</v>
      </c>
      <c r="L34" s="274">
        <f t="shared" si="6"/>
        <v>2165.6520813721681</v>
      </c>
      <c r="M34" s="274">
        <f t="shared" si="6"/>
        <v>2056.1795585775317</v>
      </c>
      <c r="N34" s="275">
        <f t="shared" si="6"/>
        <v>22351.909317212838</v>
      </c>
    </row>
    <row r="35" spans="1:14" ht="24.6" thickBot="1" x14ac:dyDescent="0.3">
      <c r="A35" s="273" t="s">
        <v>293</v>
      </c>
      <c r="B35" s="274">
        <f t="shared" ref="B35:N37" si="7">B6+B11+B16+B21+B26+B31</f>
        <v>91.726428848821087</v>
      </c>
      <c r="C35" s="274">
        <f t="shared" si="7"/>
        <v>117.20599241793803</v>
      </c>
      <c r="D35" s="274">
        <f t="shared" si="7"/>
        <v>189.46603469995375</v>
      </c>
      <c r="E35" s="274">
        <f t="shared" si="7"/>
        <v>269.67570081553396</v>
      </c>
      <c r="F35" s="274">
        <f t="shared" si="7"/>
        <v>386.77977497919557</v>
      </c>
      <c r="G35" s="274">
        <f t="shared" si="7"/>
        <v>479.42346811650486</v>
      </c>
      <c r="H35" s="274">
        <f t="shared" si="7"/>
        <v>591.94122083772527</v>
      </c>
      <c r="I35" s="274">
        <f t="shared" si="7"/>
        <v>596.98617442441048</v>
      </c>
      <c r="J35" s="274">
        <f t="shared" si="7"/>
        <v>606.77032683495156</v>
      </c>
      <c r="K35" s="274">
        <f t="shared" si="7"/>
        <v>552.19310166990306</v>
      </c>
      <c r="L35" s="274">
        <f t="shared" si="7"/>
        <v>463.72805695792874</v>
      </c>
      <c r="M35" s="274">
        <f t="shared" si="7"/>
        <v>440.28685847434127</v>
      </c>
      <c r="N35" s="275">
        <f t="shared" si="7"/>
        <v>4786.1831390772077</v>
      </c>
    </row>
    <row r="36" spans="1:14" ht="24.6" thickBot="1" x14ac:dyDescent="0.3">
      <c r="A36" s="273" t="s">
        <v>294</v>
      </c>
      <c r="B36" s="274">
        <f t="shared" si="7"/>
        <v>20.435770319001382</v>
      </c>
      <c r="C36" s="274">
        <f t="shared" si="7"/>
        <v>26.112373185390659</v>
      </c>
      <c r="D36" s="274">
        <f t="shared" si="7"/>
        <v>42.211218914470635</v>
      </c>
      <c r="E36" s="274">
        <f t="shared" si="7"/>
        <v>60.081164737864071</v>
      </c>
      <c r="F36" s="274">
        <f t="shared" si="7"/>
        <v>86.170831511789174</v>
      </c>
      <c r="G36" s="274">
        <f t="shared" si="7"/>
        <v>106.81095953398058</v>
      </c>
      <c r="H36" s="274">
        <f t="shared" si="7"/>
        <v>131.87883779195565</v>
      </c>
      <c r="I36" s="274">
        <f t="shared" si="7"/>
        <v>133.00280515950067</v>
      </c>
      <c r="J36" s="274">
        <f t="shared" si="7"/>
        <v>135.18262066019417</v>
      </c>
      <c r="K36" s="274">
        <f t="shared" si="7"/>
        <v>123.02333732038838</v>
      </c>
      <c r="L36" s="274">
        <f t="shared" si="7"/>
        <v>103.31417216828477</v>
      </c>
      <c r="M36" s="274">
        <f t="shared" si="7"/>
        <v>98.091697531206663</v>
      </c>
      <c r="N36" s="275">
        <f t="shared" si="7"/>
        <v>1066.3157888340268</v>
      </c>
    </row>
    <row r="37" spans="1:14" ht="24.6" thickBot="1" x14ac:dyDescent="0.3">
      <c r="A37" s="273" t="s">
        <v>295</v>
      </c>
      <c r="B37" s="274">
        <f t="shared" si="7"/>
        <v>2.3498170319001388</v>
      </c>
      <c r="C37" s="274">
        <f t="shared" si="7"/>
        <v>3.0025439852057323</v>
      </c>
      <c r="D37" s="274">
        <f t="shared" si="7"/>
        <v>4.8536776247803974</v>
      </c>
      <c r="E37" s="274">
        <f t="shared" si="7"/>
        <v>6.9084620737864064</v>
      </c>
      <c r="F37" s="274">
        <f t="shared" si="7"/>
        <v>9.908395151178917</v>
      </c>
      <c r="G37" s="274">
        <f t="shared" si="7"/>
        <v>12.281710353398058</v>
      </c>
      <c r="H37" s="274">
        <f t="shared" si="7"/>
        <v>15.164152579195562</v>
      </c>
      <c r="I37" s="274">
        <f t="shared" si="7"/>
        <v>15.293392515950067</v>
      </c>
      <c r="J37" s="274">
        <f t="shared" si="7"/>
        <v>15.544039666019419</v>
      </c>
      <c r="K37" s="274">
        <f t="shared" si="7"/>
        <v>14.145898532038837</v>
      </c>
      <c r="L37" s="274">
        <f t="shared" si="7"/>
        <v>11.87963055016181</v>
      </c>
      <c r="M37" s="274">
        <f t="shared" si="7"/>
        <v>11.279121753120668</v>
      </c>
      <c r="N37" s="275">
        <f t="shared" si="7"/>
        <v>122.61084181673603</v>
      </c>
    </row>
    <row r="40" spans="1:14" ht="14.4" customHeight="1" thickBot="1" x14ac:dyDescent="0.3">
      <c r="A40" s="486" t="s">
        <v>290</v>
      </c>
      <c r="B40" s="486"/>
      <c r="C40" s="486"/>
      <c r="D40" s="486"/>
      <c r="E40" s="486"/>
      <c r="F40" s="486"/>
      <c r="G40" s="486"/>
      <c r="H40" s="486"/>
      <c r="I40" s="486"/>
      <c r="J40" s="486"/>
      <c r="K40" s="486"/>
      <c r="L40" s="486"/>
      <c r="M40" s="486"/>
      <c r="N40" s="486"/>
    </row>
    <row r="41" spans="1:14" ht="13.2" customHeight="1" x14ac:dyDescent="0.25">
      <c r="A41" s="487" t="s">
        <v>32</v>
      </c>
      <c r="B41" s="489" t="s">
        <v>33</v>
      </c>
      <c r="C41" s="490"/>
      <c r="D41" s="490"/>
      <c r="E41" s="490"/>
      <c r="F41" s="490"/>
      <c r="G41" s="490"/>
      <c r="H41" s="490"/>
      <c r="I41" s="490"/>
      <c r="J41" s="490"/>
      <c r="K41" s="490"/>
      <c r="L41" s="490"/>
      <c r="M41" s="491"/>
      <c r="N41" s="492" t="s">
        <v>209</v>
      </c>
    </row>
    <row r="42" spans="1:14" ht="13.8" thickBot="1" x14ac:dyDescent="0.3">
      <c r="A42" s="502"/>
      <c r="B42" s="294" t="s">
        <v>34</v>
      </c>
      <c r="C42" s="295" t="s">
        <v>35</v>
      </c>
      <c r="D42" s="295" t="s">
        <v>36</v>
      </c>
      <c r="E42" s="295" t="s">
        <v>37</v>
      </c>
      <c r="F42" s="295" t="s">
        <v>38</v>
      </c>
      <c r="G42" s="295" t="s">
        <v>39</v>
      </c>
      <c r="H42" s="295" t="s">
        <v>40</v>
      </c>
      <c r="I42" s="295" t="s">
        <v>41</v>
      </c>
      <c r="J42" s="295" t="s">
        <v>42</v>
      </c>
      <c r="K42" s="295" t="s">
        <v>43</v>
      </c>
      <c r="L42" s="295" t="s">
        <v>44</v>
      </c>
      <c r="M42" s="295" t="s">
        <v>45</v>
      </c>
      <c r="N42" s="503"/>
    </row>
    <row r="43" spans="1:14" x14ac:dyDescent="0.25">
      <c r="A43" s="296" t="str">
        <f>A4</f>
        <v>Молоко питне</v>
      </c>
      <c r="B43" s="297">
        <f>'Виробничий план'!B24</f>
        <v>1.536</v>
      </c>
      <c r="C43" s="297">
        <f>'Виробничий план'!C24</f>
        <v>1.8128</v>
      </c>
      <c r="D43" s="297">
        <f>'Виробничий план'!D24</f>
        <v>2.6611200000000004</v>
      </c>
      <c r="E43" s="297">
        <f>'Виробничий план'!E24</f>
        <v>2.8980000000000001</v>
      </c>
      <c r="F43" s="297">
        <f>'Виробничий план'!F24</f>
        <v>3.2384000000000004</v>
      </c>
      <c r="G43" s="297">
        <f>'Виробничий план'!G24</f>
        <v>3.2256</v>
      </c>
      <c r="H43" s="297">
        <f>'Виробничий план'!H24</f>
        <v>3.3792</v>
      </c>
      <c r="I43" s="297">
        <f>'Виробничий план'!I24</f>
        <v>3.5481600000000002</v>
      </c>
      <c r="J43" s="297">
        <f>'Виробничий план'!J24</f>
        <v>3.3012000000000001</v>
      </c>
      <c r="K43" s="297">
        <f>'Виробничий план'!K24</f>
        <v>2.7417599999999998</v>
      </c>
      <c r="L43" s="297">
        <f>'Виробничий план'!L24</f>
        <v>2.7648000000000001</v>
      </c>
      <c r="M43" s="297">
        <f>'Виробничий план'!M24</f>
        <v>2.3359999999999999</v>
      </c>
      <c r="N43" s="298">
        <f>SUM(B43:M43)</f>
        <v>33.443040000000003</v>
      </c>
    </row>
    <row r="44" spans="1:14" x14ac:dyDescent="0.25">
      <c r="A44" s="145" t="s">
        <v>291</v>
      </c>
      <c r="B44" s="304">
        <f>B43*Довідник!$B$105</f>
        <v>256.20480000000003</v>
      </c>
      <c r="C44" s="304">
        <f>C43*Довідник!$B$105</f>
        <v>302.37504000000001</v>
      </c>
      <c r="D44" s="304">
        <f>D43*Довідник!$B$105</f>
        <v>443.87481600000007</v>
      </c>
      <c r="E44" s="304">
        <f>E43*Довідник!$B$105</f>
        <v>483.38640000000004</v>
      </c>
      <c r="F44" s="304">
        <f>F43*Довідник!$B$105</f>
        <v>540.16512000000012</v>
      </c>
      <c r="G44" s="304">
        <f>G43*Довідник!$B$105</f>
        <v>538.03008</v>
      </c>
      <c r="H44" s="304">
        <f>H43*Довідник!$B$105</f>
        <v>563.65056000000004</v>
      </c>
      <c r="I44" s="304">
        <f>I43*Довідник!$B$105</f>
        <v>591.83308800000009</v>
      </c>
      <c r="J44" s="304">
        <f>J43*Довідник!$B$105</f>
        <v>550.64016000000004</v>
      </c>
      <c r="K44" s="304">
        <f>K43*Довідник!$B$105</f>
        <v>457.32556799999998</v>
      </c>
      <c r="L44" s="304">
        <f>L43*Довідник!$B$105</f>
        <v>461.16864000000004</v>
      </c>
      <c r="M44" s="304">
        <f>M43*Довідник!$B$105</f>
        <v>389.64479999999998</v>
      </c>
      <c r="N44" s="305">
        <f t="shared" ref="N44:N47" si="8">SUM(B44:M44)</f>
        <v>5578.2990720000007</v>
      </c>
    </row>
    <row r="45" spans="1:14" x14ac:dyDescent="0.25">
      <c r="A45" s="145" t="s">
        <v>94</v>
      </c>
      <c r="B45" s="304">
        <f>B43*Довідник!$C$105</f>
        <v>49.152000000000001</v>
      </c>
      <c r="C45" s="304">
        <f>C43*Довідник!$C$105</f>
        <v>58.009599999999999</v>
      </c>
      <c r="D45" s="304">
        <f>D43*Довідник!$C$105</f>
        <v>85.155840000000012</v>
      </c>
      <c r="E45" s="304">
        <f>E43*Довідник!$C$105</f>
        <v>92.736000000000004</v>
      </c>
      <c r="F45" s="304">
        <f>F43*Довідник!$C$105</f>
        <v>103.62880000000001</v>
      </c>
      <c r="G45" s="304">
        <f>G43*Довідник!$C$105</f>
        <v>103.2192</v>
      </c>
      <c r="H45" s="304">
        <f>H43*Довідник!$C$105</f>
        <v>108.1344</v>
      </c>
      <c r="I45" s="304">
        <f>I43*Довідник!$C$105</f>
        <v>113.54112000000001</v>
      </c>
      <c r="J45" s="304">
        <f>J43*Довідник!$C$105</f>
        <v>105.6384</v>
      </c>
      <c r="K45" s="304">
        <f>K43*Довідник!$C$105</f>
        <v>87.736319999999992</v>
      </c>
      <c r="L45" s="304">
        <f>L43*Довідник!$C$105</f>
        <v>88.473600000000005</v>
      </c>
      <c r="M45" s="304">
        <f>M43*Довідник!$C$105</f>
        <v>74.751999999999995</v>
      </c>
      <c r="N45" s="305">
        <f t="shared" si="8"/>
        <v>1070.1772800000001</v>
      </c>
    </row>
    <row r="46" spans="1:14" x14ac:dyDescent="0.25">
      <c r="A46" s="145" t="s">
        <v>95</v>
      </c>
      <c r="B46" s="304">
        <f>B43*Довідник!$D$105</f>
        <v>8.4480000000000004</v>
      </c>
      <c r="C46" s="304">
        <f>C43*Довідник!$D$105</f>
        <v>9.9703999999999997</v>
      </c>
      <c r="D46" s="304">
        <f>D43*Довідник!$D$105</f>
        <v>14.636160000000002</v>
      </c>
      <c r="E46" s="304">
        <f>E43*Довідник!$D$105</f>
        <v>15.939</v>
      </c>
      <c r="F46" s="304">
        <f>F43*Довідник!$D$105</f>
        <v>17.811200000000003</v>
      </c>
      <c r="G46" s="304">
        <f>G43*Довідник!$D$105</f>
        <v>17.7408</v>
      </c>
      <c r="H46" s="304">
        <f>H43*Довідник!$D$105</f>
        <v>18.585599999999999</v>
      </c>
      <c r="I46" s="304">
        <f>I43*Довідник!$D$105</f>
        <v>19.514880000000002</v>
      </c>
      <c r="J46" s="304">
        <f>J43*Довідник!$D$105</f>
        <v>18.156600000000001</v>
      </c>
      <c r="K46" s="304">
        <f>K43*Довідник!$D$105</f>
        <v>15.079679999999998</v>
      </c>
      <c r="L46" s="304">
        <f>L43*Довідник!$D$105</f>
        <v>15.2064</v>
      </c>
      <c r="M46" s="304">
        <f>M43*Довідник!$D$105</f>
        <v>12.847999999999999</v>
      </c>
      <c r="N46" s="305">
        <f t="shared" si="8"/>
        <v>183.93671999999998</v>
      </c>
    </row>
    <row r="47" spans="1:14" ht="13.8" thickBot="1" x14ac:dyDescent="0.3">
      <c r="A47" s="145" t="s">
        <v>99</v>
      </c>
      <c r="B47" s="304">
        <f>B43*Довідник!$E$105</f>
        <v>0.43008000000000007</v>
      </c>
      <c r="C47" s="304">
        <f>C43*Довідник!$E$105</f>
        <v>0.50758400000000004</v>
      </c>
      <c r="D47" s="304">
        <f>D43*Довідник!$E$105</f>
        <v>0.74511360000000015</v>
      </c>
      <c r="E47" s="304">
        <f>E43*Довідник!$E$105</f>
        <v>0.81144000000000016</v>
      </c>
      <c r="F47" s="304">
        <f>F43*Довідник!$E$105</f>
        <v>0.90675200000000022</v>
      </c>
      <c r="G47" s="304">
        <f>G43*Довідник!$E$105</f>
        <v>0.90316800000000008</v>
      </c>
      <c r="H47" s="304">
        <f>H43*Довідник!$E$105</f>
        <v>0.94617600000000013</v>
      </c>
      <c r="I47" s="304">
        <f>I43*Довідник!$E$105</f>
        <v>0.99348480000000017</v>
      </c>
      <c r="J47" s="304">
        <f>J43*Довідник!$E$105</f>
        <v>0.92433600000000016</v>
      </c>
      <c r="K47" s="304">
        <f>K43*Довідник!$E$105</f>
        <v>0.76769279999999995</v>
      </c>
      <c r="L47" s="304">
        <f>L43*Довідник!$E$105</f>
        <v>0.77414400000000017</v>
      </c>
      <c r="M47" s="304">
        <f>M43*Довідник!$E$105</f>
        <v>0.65407999999999999</v>
      </c>
      <c r="N47" s="305">
        <f t="shared" si="8"/>
        <v>9.3640512000000022</v>
      </c>
    </row>
    <row r="48" spans="1:14" x14ac:dyDescent="0.25">
      <c r="A48" s="296" t="str">
        <f>A9</f>
        <v>Сир кисломолочний</v>
      </c>
      <c r="B48" s="297">
        <f>'Виробничий план'!B26</f>
        <v>0.51200000000000001</v>
      </c>
      <c r="C48" s="297">
        <f>'Виробничий план'!C26</f>
        <v>0.60426666666666662</v>
      </c>
      <c r="D48" s="297">
        <f>'Виробничий план'!D26</f>
        <v>0.88704000000000016</v>
      </c>
      <c r="E48" s="297">
        <f>'Виробничий план'!E26</f>
        <v>0.96600000000000008</v>
      </c>
      <c r="F48" s="297">
        <f>'Виробничий план'!F26</f>
        <v>1.0794666666666668</v>
      </c>
      <c r="G48" s="297">
        <f>'Виробничий план'!G26</f>
        <v>1.0751999999999999</v>
      </c>
      <c r="H48" s="297">
        <f>'Виробничий план'!H26</f>
        <v>1.1264000000000001</v>
      </c>
      <c r="I48" s="297">
        <f>'Виробничий план'!I26</f>
        <v>1.18272</v>
      </c>
      <c r="J48" s="297">
        <f>'Виробничий план'!J26</f>
        <v>1.1004</v>
      </c>
      <c r="K48" s="297">
        <f>'Виробничий план'!K26</f>
        <v>0.91391999999999995</v>
      </c>
      <c r="L48" s="297">
        <f>'Виробничий план'!L26</f>
        <v>0.92160000000000009</v>
      </c>
      <c r="M48" s="297">
        <f>'Виробничий план'!M26</f>
        <v>0.77866666666666662</v>
      </c>
      <c r="N48" s="298">
        <f>SUM(B48:M48)</f>
        <v>11.147679999999999</v>
      </c>
    </row>
    <row r="49" spans="1:14" x14ac:dyDescent="0.25">
      <c r="A49" s="145" t="s">
        <v>291</v>
      </c>
      <c r="B49" s="304">
        <f>B48*Довідник!$B$106</f>
        <v>192.20480000000001</v>
      </c>
      <c r="C49" s="304">
        <f>C48*Довідник!$B$106</f>
        <v>226.84170666666662</v>
      </c>
      <c r="D49" s="304">
        <f>D48*Довідник!$B$106</f>
        <v>332.99481600000001</v>
      </c>
      <c r="E49" s="304">
        <f>E48*Довідник!$B$106</f>
        <v>362.63639999999998</v>
      </c>
      <c r="F49" s="304">
        <f>F48*Довідник!$B$106</f>
        <v>405.23178666666666</v>
      </c>
      <c r="G49" s="304">
        <f>G48*Довідник!$B$106</f>
        <v>403.63007999999996</v>
      </c>
      <c r="H49" s="304">
        <f>H48*Довідник!$B$106</f>
        <v>422.85055999999997</v>
      </c>
      <c r="I49" s="304">
        <f>I48*Довідник!$B$106</f>
        <v>443.99308799999994</v>
      </c>
      <c r="J49" s="304">
        <f>J48*Довідник!$B$106</f>
        <v>413.09015999999997</v>
      </c>
      <c r="K49" s="304">
        <f>K48*Довідник!$B$106</f>
        <v>343.08556799999997</v>
      </c>
      <c r="L49" s="304">
        <f>L48*Довідник!$B$106</f>
        <v>345.96863999999999</v>
      </c>
      <c r="M49" s="304">
        <f>M48*Довідник!$B$106</f>
        <v>292.3114666666666</v>
      </c>
      <c r="N49" s="305">
        <f t="shared" ref="N49:N52" si="9">SUM(B49:M49)</f>
        <v>4184.8390719999998</v>
      </c>
    </row>
    <row r="50" spans="1:14" x14ac:dyDescent="0.25">
      <c r="A50" s="145" t="s">
        <v>94</v>
      </c>
      <c r="B50" s="304">
        <f>B48*Довідник!$C$106</f>
        <v>65.536000000000001</v>
      </c>
      <c r="C50" s="304">
        <f>C48*Довідник!$C$106</f>
        <v>77.346133333333327</v>
      </c>
      <c r="D50" s="304">
        <f>D48*Довідник!$C$106</f>
        <v>113.54112000000002</v>
      </c>
      <c r="E50" s="304">
        <f>E48*Довідник!$C$106</f>
        <v>123.64800000000001</v>
      </c>
      <c r="F50" s="304">
        <f>F48*Довідник!$C$106</f>
        <v>138.17173333333335</v>
      </c>
      <c r="G50" s="304">
        <f>G48*Довідник!$C$106</f>
        <v>137.62559999999999</v>
      </c>
      <c r="H50" s="304">
        <f>H48*Довідник!$C$106</f>
        <v>144.17920000000001</v>
      </c>
      <c r="I50" s="304">
        <f>I48*Довідник!$C$106</f>
        <v>151.38816</v>
      </c>
      <c r="J50" s="304">
        <f>J48*Довідник!$C$106</f>
        <v>140.85120000000001</v>
      </c>
      <c r="K50" s="304">
        <f>K48*Довідник!$C$106</f>
        <v>116.98175999999999</v>
      </c>
      <c r="L50" s="304">
        <f>L48*Довідник!$C$106</f>
        <v>117.96480000000001</v>
      </c>
      <c r="M50" s="304">
        <f>M48*Довідник!$C$106</f>
        <v>99.669333333333327</v>
      </c>
      <c r="N50" s="305">
        <f t="shared" si="9"/>
        <v>1426.9030399999999</v>
      </c>
    </row>
    <row r="51" spans="1:14" x14ac:dyDescent="0.25">
      <c r="A51" s="145" t="s">
        <v>95</v>
      </c>
      <c r="B51" s="304">
        <f>B48*Довідник!$D$106</f>
        <v>18.943999999999999</v>
      </c>
      <c r="C51" s="304">
        <f>C48*Довідник!$D$106</f>
        <v>22.357866666666666</v>
      </c>
      <c r="D51" s="304">
        <f>D48*Довідник!$D$106</f>
        <v>32.820480000000003</v>
      </c>
      <c r="E51" s="304">
        <f>E48*Довідник!$D$106</f>
        <v>35.742000000000004</v>
      </c>
      <c r="F51" s="304">
        <f>F48*Довідник!$D$106</f>
        <v>39.940266666666673</v>
      </c>
      <c r="G51" s="304">
        <f>G48*Довідник!$D$106</f>
        <v>39.782399999999996</v>
      </c>
      <c r="H51" s="304">
        <f>H48*Довідник!$D$106</f>
        <v>41.6768</v>
      </c>
      <c r="I51" s="304">
        <f>I48*Довідник!$D$106</f>
        <v>43.760640000000002</v>
      </c>
      <c r="J51" s="304">
        <f>J48*Довідник!$D$106</f>
        <v>40.714800000000004</v>
      </c>
      <c r="K51" s="304">
        <f>K48*Довідник!$D$106</f>
        <v>33.815039999999996</v>
      </c>
      <c r="L51" s="304">
        <f>L48*Довідник!$D$106</f>
        <v>34.099200000000003</v>
      </c>
      <c r="M51" s="304">
        <f>M48*Довідник!$D$106</f>
        <v>28.810666666666666</v>
      </c>
      <c r="N51" s="305">
        <f t="shared" si="9"/>
        <v>412.46416000000011</v>
      </c>
    </row>
    <row r="52" spans="1:14" ht="13.8" thickBot="1" x14ac:dyDescent="0.3">
      <c r="A52" s="145" t="s">
        <v>99</v>
      </c>
      <c r="B52" s="304">
        <f>B48*Довідник!$E$106</f>
        <v>0.65536000000000005</v>
      </c>
      <c r="C52" s="304">
        <f>C48*Довідник!$E$106</f>
        <v>0.77346133333333333</v>
      </c>
      <c r="D52" s="304">
        <f>D48*Довідник!$E$106</f>
        <v>1.1354112000000003</v>
      </c>
      <c r="E52" s="304">
        <f>E48*Довідник!$E$106</f>
        <v>1.23648</v>
      </c>
      <c r="F52" s="304">
        <f>F48*Довідник!$E$106</f>
        <v>1.3817173333333335</v>
      </c>
      <c r="G52" s="304">
        <f>G48*Довідник!$E$106</f>
        <v>1.3762559999999999</v>
      </c>
      <c r="H52" s="304">
        <f>H48*Довідник!$E$106</f>
        <v>1.4417920000000002</v>
      </c>
      <c r="I52" s="304">
        <f>I48*Довідник!$E$106</f>
        <v>1.5138815999999999</v>
      </c>
      <c r="J52" s="304">
        <f>J48*Довідник!$E$106</f>
        <v>1.408512</v>
      </c>
      <c r="K52" s="304">
        <f>K48*Довідник!$E$106</f>
        <v>1.1698176</v>
      </c>
      <c r="L52" s="304">
        <f>L48*Довідник!$E$106</f>
        <v>1.179648</v>
      </c>
      <c r="M52" s="304">
        <f>M48*Довідник!$E$106</f>
        <v>0.99669333333333332</v>
      </c>
      <c r="N52" s="305">
        <f t="shared" si="9"/>
        <v>14.2690304</v>
      </c>
    </row>
    <row r="53" spans="1:14" x14ac:dyDescent="0.25">
      <c r="A53" s="296" t="str">
        <f>A14</f>
        <v>Кефір</v>
      </c>
      <c r="B53" s="297">
        <f>'Виробничий план'!B28</f>
        <v>4.4737864077669895</v>
      </c>
      <c r="C53" s="297">
        <f>'Виробничий план'!C28</f>
        <v>5.28</v>
      </c>
      <c r="D53" s="297">
        <f>'Виробничий план'!D28</f>
        <v>7.7508349514563113</v>
      </c>
      <c r="E53" s="297">
        <f>'Виробничий план'!E28</f>
        <v>8.4407766990291258</v>
      </c>
      <c r="F53" s="297">
        <f>'Виробничий план'!F28</f>
        <v>9.432233009708737</v>
      </c>
      <c r="G53" s="297">
        <f>'Виробничий план'!G28</f>
        <v>9.3949514563106789</v>
      </c>
      <c r="H53" s="297">
        <f>'Виробничий план'!H28</f>
        <v>9.8423300970873768</v>
      </c>
      <c r="I53" s="297">
        <f>'Виробничий план'!I28</f>
        <v>10.33444660194175</v>
      </c>
      <c r="J53" s="297">
        <f>'Виробничий план'!J28</f>
        <v>9.6151456310679624</v>
      </c>
      <c r="K53" s="297">
        <f>'Виробничий план'!K28</f>
        <v>7.9857087378640772</v>
      </c>
      <c r="L53" s="297">
        <f>'Виробничий план'!L28</f>
        <v>8.0528155339805831</v>
      </c>
      <c r="M53" s="297">
        <f>'Виробничий план'!M28</f>
        <v>6.8038834951456302</v>
      </c>
      <c r="N53" s="298">
        <f>SUM(B53:M53)</f>
        <v>97.406912621359211</v>
      </c>
    </row>
    <row r="54" spans="1:14" x14ac:dyDescent="0.25">
      <c r="A54" s="145" t="s">
        <v>291</v>
      </c>
      <c r="B54" s="304">
        <f>B53*Довідник!$B$107</f>
        <v>1038.3658252427183</v>
      </c>
      <c r="C54" s="304">
        <f>C53*Довідник!$B$107</f>
        <v>1225.4880000000001</v>
      </c>
      <c r="D54" s="304">
        <f>D53*Довідник!$B$107</f>
        <v>1798.9687922330097</v>
      </c>
      <c r="E54" s="304">
        <f>E53*Довідник!$B$107</f>
        <v>1959.1042718446599</v>
      </c>
      <c r="F54" s="304">
        <f>F53*Довідник!$B$107</f>
        <v>2189.2212815533976</v>
      </c>
      <c r="G54" s="304">
        <f>G53*Довідник!$B$107</f>
        <v>2180.5682330097084</v>
      </c>
      <c r="H54" s="304">
        <f>H53*Довідник!$B$107</f>
        <v>2284.4048155339801</v>
      </c>
      <c r="I54" s="304">
        <f>I53*Довідник!$B$107</f>
        <v>2398.6250563106801</v>
      </c>
      <c r="J54" s="304">
        <f>J53*Довідник!$B$107</f>
        <v>2231.6753009708741</v>
      </c>
      <c r="K54" s="304">
        <f>K53*Довідник!$B$107</f>
        <v>1853.4829980582522</v>
      </c>
      <c r="L54" s="304">
        <f>L53*Довідник!$B$107</f>
        <v>1869.0584854368933</v>
      </c>
      <c r="M54" s="304">
        <f>M53*Довідник!$B$107</f>
        <v>1579.1813592233007</v>
      </c>
      <c r="N54" s="305">
        <f t="shared" ref="N54:N57" si="10">SUM(B54:M54)</f>
        <v>22608.144419417473</v>
      </c>
    </row>
    <row r="55" spans="1:14" x14ac:dyDescent="0.25">
      <c r="A55" s="145" t="s">
        <v>94</v>
      </c>
      <c r="B55" s="304">
        <f>B53*Довідник!$C$107</f>
        <v>156.58252427184465</v>
      </c>
      <c r="C55" s="304">
        <f>C53*Довідник!$C$107</f>
        <v>184.8</v>
      </c>
      <c r="D55" s="304">
        <f>D53*Довідник!$C$107</f>
        <v>271.2792233009709</v>
      </c>
      <c r="E55" s="304">
        <f>E53*Довідник!$C$107</f>
        <v>295.42718446601941</v>
      </c>
      <c r="F55" s="304">
        <f>F53*Довідник!$C$107</f>
        <v>330.1281553398058</v>
      </c>
      <c r="G55" s="304">
        <f>G53*Довідник!$C$107</f>
        <v>328.82330097087379</v>
      </c>
      <c r="H55" s="304">
        <f>H53*Довідник!$C$107</f>
        <v>344.48155339805817</v>
      </c>
      <c r="I55" s="304">
        <f>I53*Довідник!$C$107</f>
        <v>361.70563106796124</v>
      </c>
      <c r="J55" s="304">
        <f>J53*Довідник!$C$107</f>
        <v>336.53009708737869</v>
      </c>
      <c r="K55" s="304">
        <f>K53*Довідник!$C$107</f>
        <v>279.49980582524267</v>
      </c>
      <c r="L55" s="304">
        <f>L53*Довідник!$C$107</f>
        <v>281.84854368932042</v>
      </c>
      <c r="M55" s="304">
        <f>M53*Довідник!$C$107</f>
        <v>238.13592233009706</v>
      </c>
      <c r="N55" s="305">
        <f t="shared" si="10"/>
        <v>3409.241941747573</v>
      </c>
    </row>
    <row r="56" spans="1:14" x14ac:dyDescent="0.25">
      <c r="A56" s="145" t="s">
        <v>95</v>
      </c>
      <c r="B56" s="304">
        <f>B53*Довідник!$D$107</f>
        <v>24.605825242718442</v>
      </c>
      <c r="C56" s="304">
        <f>C53*Довідник!$D$107</f>
        <v>29.040000000000003</v>
      </c>
      <c r="D56" s="304">
        <f>D53*Довідник!$D$107</f>
        <v>42.62959223300971</v>
      </c>
      <c r="E56" s="304">
        <f>E53*Довідник!$D$107</f>
        <v>46.42427184466019</v>
      </c>
      <c r="F56" s="304">
        <f>F53*Довідник!$D$107</f>
        <v>51.877281553398056</v>
      </c>
      <c r="G56" s="304">
        <f>G53*Довідник!$D$107</f>
        <v>51.672233009708734</v>
      </c>
      <c r="H56" s="304">
        <f>H53*Довідник!$D$107</f>
        <v>54.132815533980576</v>
      </c>
      <c r="I56" s="304">
        <f>I53*Довідник!$D$107</f>
        <v>56.839456310679623</v>
      </c>
      <c r="J56" s="304">
        <f>J53*Довідник!$D$107</f>
        <v>52.88330097087379</v>
      </c>
      <c r="K56" s="304">
        <f>K53*Довідник!$D$107</f>
        <v>43.921398058252421</v>
      </c>
      <c r="L56" s="304">
        <f>L53*Довідник!$D$107</f>
        <v>44.290485436893206</v>
      </c>
      <c r="M56" s="304">
        <f>M53*Довідник!$D$107</f>
        <v>37.421359223300968</v>
      </c>
      <c r="N56" s="305">
        <f t="shared" si="10"/>
        <v>535.7380194174757</v>
      </c>
    </row>
    <row r="57" spans="1:14" ht="13.8" thickBot="1" x14ac:dyDescent="0.3">
      <c r="A57" s="145" t="s">
        <v>99</v>
      </c>
      <c r="B57" s="304">
        <f>B53*Довідник!$E$107</f>
        <v>2.9974368932038833</v>
      </c>
      <c r="C57" s="304">
        <f>C53*Довідник!$E$107</f>
        <v>3.5376000000000003</v>
      </c>
      <c r="D57" s="304">
        <f>D53*Довідник!$E$107</f>
        <v>5.1930594174757285</v>
      </c>
      <c r="E57" s="304">
        <f>E53*Довідник!$E$107</f>
        <v>5.6553203883495149</v>
      </c>
      <c r="F57" s="304">
        <f>F53*Довідник!$E$107</f>
        <v>6.3195961165048544</v>
      </c>
      <c r="G57" s="304">
        <f>G53*Довідник!$E$107</f>
        <v>6.2946174757281552</v>
      </c>
      <c r="H57" s="304">
        <f>H53*Довідник!$E$107</f>
        <v>6.594361165048543</v>
      </c>
      <c r="I57" s="304">
        <f>I53*Довідник!$E$107</f>
        <v>6.9240792233009723</v>
      </c>
      <c r="J57" s="304">
        <f>J53*Довідник!$E$107</f>
        <v>6.4421475728155349</v>
      </c>
      <c r="K57" s="304">
        <f>K53*Довідник!$E$107</f>
        <v>5.3504248543689323</v>
      </c>
      <c r="L57" s="304">
        <f>L53*Довідник!$E$107</f>
        <v>5.3953864077669911</v>
      </c>
      <c r="M57" s="304">
        <f>M53*Довідник!$E$107</f>
        <v>4.5586019417475727</v>
      </c>
      <c r="N57" s="305">
        <f t="shared" si="10"/>
        <v>65.262631456310686</v>
      </c>
    </row>
    <row r="58" spans="1:14" x14ac:dyDescent="0.25">
      <c r="A58" s="296" t="str">
        <f>A19</f>
        <v>Сметана</v>
      </c>
      <c r="B58" s="297">
        <f>'Виробничий план'!B30</f>
        <v>0.21942857142857145</v>
      </c>
      <c r="C58" s="297">
        <f>'Виробничий план'!C30</f>
        <v>0.25897142857142857</v>
      </c>
      <c r="D58" s="297">
        <f>'Виробничий план'!D30</f>
        <v>0.38016000000000005</v>
      </c>
      <c r="E58" s="297">
        <f>'Виробничий план'!E30</f>
        <v>0.41400000000000003</v>
      </c>
      <c r="F58" s="297">
        <f>'Виробничий план'!F30</f>
        <v>0.4626285714285715</v>
      </c>
      <c r="G58" s="297">
        <f>'Виробничий план'!G30</f>
        <v>0.46079999999999999</v>
      </c>
      <c r="H58" s="297">
        <f>'Виробничий план'!H30</f>
        <v>0.48274285714285714</v>
      </c>
      <c r="I58" s="297">
        <f>'Виробничий план'!I30</f>
        <v>0.50688</v>
      </c>
      <c r="J58" s="297">
        <f>'Виробничий план'!J30</f>
        <v>0.47160000000000002</v>
      </c>
      <c r="K58" s="297">
        <f>'Виробничий план'!K30</f>
        <v>0.39167999999999997</v>
      </c>
      <c r="L58" s="297">
        <f>'Виробничий план'!L30</f>
        <v>0.39497142857142858</v>
      </c>
      <c r="M58" s="297">
        <f>'Виробничий план'!M30</f>
        <v>0.33371428571428569</v>
      </c>
      <c r="N58" s="298">
        <f>SUM(B58:M58)</f>
        <v>4.777577142857143</v>
      </c>
    </row>
    <row r="59" spans="1:14" x14ac:dyDescent="0.25">
      <c r="A59" s="145" t="s">
        <v>291</v>
      </c>
      <c r="B59" s="304">
        <f>B58*Довідник!$B$108</f>
        <v>78.643200000000007</v>
      </c>
      <c r="C59" s="304">
        <f>C58*Довідник!$B$108</f>
        <v>92.815359999999998</v>
      </c>
      <c r="D59" s="304">
        <f>D58*Довідник!$B$108</f>
        <v>136.24934400000001</v>
      </c>
      <c r="E59" s="304">
        <f>E58*Довідник!$B$108</f>
        <v>148.3776</v>
      </c>
      <c r="F59" s="304">
        <f>F58*Довідник!$B$108</f>
        <v>165.80608000000001</v>
      </c>
      <c r="G59" s="304">
        <f>G58*Довідник!$B$108</f>
        <v>165.15071999999998</v>
      </c>
      <c r="H59" s="304">
        <f>H58*Довідник!$B$108</f>
        <v>173.01504</v>
      </c>
      <c r="I59" s="304">
        <f>I58*Довідник!$B$108</f>
        <v>181.66579199999998</v>
      </c>
      <c r="J59" s="304">
        <f>J58*Довідник!$B$108</f>
        <v>169.02143999999998</v>
      </c>
      <c r="K59" s="304">
        <f>K58*Довідник!$B$108</f>
        <v>140.37811199999999</v>
      </c>
      <c r="L59" s="304">
        <f>L58*Довідник!$B$108</f>
        <v>141.55776</v>
      </c>
      <c r="M59" s="304">
        <f>M58*Довідник!$B$108</f>
        <v>119.60319999999999</v>
      </c>
      <c r="N59" s="305">
        <f t="shared" ref="N59:N62" si="11">SUM(B59:M59)</f>
        <v>1712.2836479999999</v>
      </c>
    </row>
    <row r="60" spans="1:14" x14ac:dyDescent="0.25">
      <c r="A60" s="145" t="s">
        <v>94</v>
      </c>
      <c r="B60" s="304">
        <f>B58*Довідник!$C$108</f>
        <v>37.302857142857142</v>
      </c>
      <c r="C60" s="304">
        <f>C58*Довідник!$C$108</f>
        <v>44.02514285714286</v>
      </c>
      <c r="D60" s="304">
        <f>D58*Довідник!$C$108</f>
        <v>64.627200000000016</v>
      </c>
      <c r="E60" s="304">
        <f>E58*Довідник!$C$108</f>
        <v>70.38000000000001</v>
      </c>
      <c r="F60" s="304">
        <f>F58*Довідник!$C$108</f>
        <v>78.646857142857158</v>
      </c>
      <c r="G60" s="304">
        <f>G58*Довідник!$C$108</f>
        <v>78.335999999999999</v>
      </c>
      <c r="H60" s="304">
        <f>H58*Довідник!$C$108</f>
        <v>82.066285714285712</v>
      </c>
      <c r="I60" s="304">
        <f>I58*Довідник!$C$108</f>
        <v>86.169600000000003</v>
      </c>
      <c r="J60" s="304">
        <f>J58*Довідник!$C$108</f>
        <v>80.171999999999997</v>
      </c>
      <c r="K60" s="304">
        <f>K58*Довідник!$C$108</f>
        <v>66.585599999999999</v>
      </c>
      <c r="L60" s="304">
        <f>L58*Довідник!$C$108</f>
        <v>67.145142857142858</v>
      </c>
      <c r="M60" s="304">
        <f>M58*Довідник!$C$108</f>
        <v>56.731428571428566</v>
      </c>
      <c r="N60" s="305">
        <f t="shared" si="11"/>
        <v>812.18811428571439</v>
      </c>
    </row>
    <row r="61" spans="1:14" x14ac:dyDescent="0.25">
      <c r="A61" s="145" t="s">
        <v>95</v>
      </c>
      <c r="B61" s="304">
        <f>B58*Довідник!$D$108</f>
        <v>8.5577142857142867</v>
      </c>
      <c r="C61" s="304">
        <f>C58*Довідник!$D$108</f>
        <v>10.099885714285714</v>
      </c>
      <c r="D61" s="304">
        <f>D58*Довідник!$D$108</f>
        <v>14.826240000000002</v>
      </c>
      <c r="E61" s="304">
        <f>E58*Довідник!$D$108</f>
        <v>16.146000000000001</v>
      </c>
      <c r="F61" s="304">
        <f>F58*Довідник!$D$108</f>
        <v>18.04251428571429</v>
      </c>
      <c r="G61" s="304">
        <f>G58*Довідник!$D$108</f>
        <v>17.9712</v>
      </c>
      <c r="H61" s="304">
        <f>H58*Довідник!$D$108</f>
        <v>18.826971428571429</v>
      </c>
      <c r="I61" s="304">
        <f>I58*Довідник!$D$108</f>
        <v>19.768319999999999</v>
      </c>
      <c r="J61" s="304">
        <f>J58*Довідник!$D$108</f>
        <v>18.392400000000002</v>
      </c>
      <c r="K61" s="304">
        <f>K58*Довідник!$D$108</f>
        <v>15.275519999999998</v>
      </c>
      <c r="L61" s="304">
        <f>L58*Довідник!$D$108</f>
        <v>15.403885714285714</v>
      </c>
      <c r="M61" s="304">
        <f>M58*Довідник!$D$108</f>
        <v>13.014857142857142</v>
      </c>
      <c r="N61" s="305">
        <f t="shared" si="11"/>
        <v>186.32550857142857</v>
      </c>
    </row>
    <row r="62" spans="1:14" ht="13.8" thickBot="1" x14ac:dyDescent="0.3">
      <c r="A62" s="145" t="s">
        <v>99</v>
      </c>
      <c r="B62" s="304">
        <f>B58*Довідник!$E$108</f>
        <v>0.35986285714285715</v>
      </c>
      <c r="C62" s="304">
        <f>C58*Довідник!$E$108</f>
        <v>0.42471314285714284</v>
      </c>
      <c r="D62" s="304">
        <f>D58*Довідник!$E$108</f>
        <v>0.62346240000000008</v>
      </c>
      <c r="E62" s="304">
        <f>E58*Довідник!$E$108</f>
        <v>0.67896000000000001</v>
      </c>
      <c r="F62" s="304">
        <f>F58*Довідник!$E$108</f>
        <v>0.75871085714285724</v>
      </c>
      <c r="G62" s="304">
        <f>G58*Довідник!$E$108</f>
        <v>0.75571199999999994</v>
      </c>
      <c r="H62" s="304">
        <f>H58*Довідник!$E$108</f>
        <v>0.79169828571428569</v>
      </c>
      <c r="I62" s="304">
        <f>I58*Довідник!$E$108</f>
        <v>0.8312832</v>
      </c>
      <c r="J62" s="304">
        <f>J58*Довідник!$E$108</f>
        <v>0.773424</v>
      </c>
      <c r="K62" s="304">
        <f>K58*Довідник!$E$108</f>
        <v>0.6423551999999999</v>
      </c>
      <c r="L62" s="304">
        <f>L58*Довідник!$E$108</f>
        <v>0.64775314285714281</v>
      </c>
      <c r="M62" s="304">
        <f>M58*Довідник!$E$108</f>
        <v>0.54729142857142854</v>
      </c>
      <c r="N62" s="305">
        <f t="shared" si="11"/>
        <v>7.835226514285714</v>
      </c>
    </row>
    <row r="63" spans="1:14" x14ac:dyDescent="0.25">
      <c r="A63" s="296" t="str">
        <f>A24</f>
        <v>Сир м'який</v>
      </c>
      <c r="B63" s="297">
        <f>'Виробничий план'!B32</f>
        <v>0.7679999999999999</v>
      </c>
      <c r="C63" s="297">
        <f>'Виробничий план'!C32</f>
        <v>0.90640000000000009</v>
      </c>
      <c r="D63" s="297">
        <f>'Виробничий план'!D32</f>
        <v>1.3305600000000002</v>
      </c>
      <c r="E63" s="297">
        <f>'Виробничий план'!E32</f>
        <v>1.4489999999999998</v>
      </c>
      <c r="F63" s="297">
        <f>'Виробничий план'!F32</f>
        <v>1.6192</v>
      </c>
      <c r="G63" s="297">
        <f>'Виробничий план'!G32</f>
        <v>1.6128</v>
      </c>
      <c r="H63" s="297">
        <f>'Виробничий план'!H32</f>
        <v>1.6895999999999998</v>
      </c>
      <c r="I63" s="297">
        <f>'Виробничий план'!I32</f>
        <v>1.7740800000000003</v>
      </c>
      <c r="J63" s="297">
        <f>'Виробничий план'!J32</f>
        <v>1.6506000000000001</v>
      </c>
      <c r="K63" s="297">
        <f>'Виробничий план'!K32</f>
        <v>1.3708799999999999</v>
      </c>
      <c r="L63" s="297">
        <f>'Виробничий план'!L32</f>
        <v>1.3824000000000003</v>
      </c>
      <c r="M63" s="297">
        <f>'Виробничий план'!M32</f>
        <v>1.1679999999999999</v>
      </c>
      <c r="N63" s="298">
        <f t="shared" ref="N63:N72" si="12">SUM(B63:M63)</f>
        <v>16.721520000000002</v>
      </c>
    </row>
    <row r="64" spans="1:14" x14ac:dyDescent="0.25">
      <c r="A64" s="145" t="s">
        <v>291</v>
      </c>
      <c r="B64" s="304">
        <f>B63*Довідник!$B$109</f>
        <v>550.42559999999992</v>
      </c>
      <c r="C64" s="304">
        <f>C63*Довідник!$B$109</f>
        <v>649.61688000000015</v>
      </c>
      <c r="D64" s="304">
        <f>D63*Довідник!$B$109</f>
        <v>953.61235200000021</v>
      </c>
      <c r="E64" s="304">
        <f>E63*Довідник!$B$109</f>
        <v>1038.4983</v>
      </c>
      <c r="F64" s="304">
        <f>F63*Довідник!$B$109</f>
        <v>1160.48064</v>
      </c>
      <c r="G64" s="304">
        <f>G63*Довідник!$B$109</f>
        <v>1155.8937600000002</v>
      </c>
      <c r="H64" s="304">
        <f>H63*Довідник!$B$109</f>
        <v>1210.93632</v>
      </c>
      <c r="I64" s="304">
        <f>I63*Довідник!$B$109</f>
        <v>1271.4831360000003</v>
      </c>
      <c r="J64" s="304">
        <f>J63*Довідник!$B$109</f>
        <v>1182.9850200000001</v>
      </c>
      <c r="K64" s="304">
        <f>K63*Довідник!$B$109</f>
        <v>982.50969599999996</v>
      </c>
      <c r="L64" s="304">
        <f>L63*Довідник!$B$109</f>
        <v>990.76608000000033</v>
      </c>
      <c r="M64" s="304">
        <f>M63*Довідник!$B$109</f>
        <v>837.10559999999998</v>
      </c>
      <c r="N64" s="306">
        <f t="shared" si="12"/>
        <v>11984.313383999999</v>
      </c>
    </row>
    <row r="65" spans="1:14" x14ac:dyDescent="0.25">
      <c r="A65" s="145" t="s">
        <v>94</v>
      </c>
      <c r="B65" s="304">
        <f>B63*Довідник!$C$109</f>
        <v>138.23999999999998</v>
      </c>
      <c r="C65" s="304">
        <f>C63*Довідник!$C$109</f>
        <v>163.15200000000002</v>
      </c>
      <c r="D65" s="304">
        <f>D63*Довідник!$C$109</f>
        <v>239.50080000000003</v>
      </c>
      <c r="E65" s="304">
        <f>E63*Довідник!$C$109</f>
        <v>260.82</v>
      </c>
      <c r="F65" s="304">
        <f>F63*Довідник!$C$109</f>
        <v>291.45600000000002</v>
      </c>
      <c r="G65" s="304">
        <f>G63*Довідник!$C$109</f>
        <v>290.30399999999997</v>
      </c>
      <c r="H65" s="304">
        <f>H63*Довідник!$C$109</f>
        <v>304.12799999999999</v>
      </c>
      <c r="I65" s="304">
        <f>I63*Довідник!$C$109</f>
        <v>319.33440000000007</v>
      </c>
      <c r="J65" s="304">
        <f>J63*Довідник!$C$109</f>
        <v>297.108</v>
      </c>
      <c r="K65" s="304">
        <f>K63*Довідник!$C$109</f>
        <v>246.75839999999997</v>
      </c>
      <c r="L65" s="304">
        <f>L63*Довідник!$C$109</f>
        <v>248.83200000000005</v>
      </c>
      <c r="M65" s="304">
        <f>M63*Довідник!$C$109</f>
        <v>210.23999999999998</v>
      </c>
      <c r="N65" s="306">
        <f t="shared" si="12"/>
        <v>3009.8735999999999</v>
      </c>
    </row>
    <row r="66" spans="1:14" x14ac:dyDescent="0.25">
      <c r="A66" s="145" t="s">
        <v>95</v>
      </c>
      <c r="B66" s="304">
        <f>B63*Довідник!$D$109</f>
        <v>46.079999999999991</v>
      </c>
      <c r="C66" s="304">
        <f>C63*Довідник!$D$109</f>
        <v>54.384000000000007</v>
      </c>
      <c r="D66" s="304">
        <f>D63*Довідник!$D$109</f>
        <v>79.833600000000018</v>
      </c>
      <c r="E66" s="304">
        <f>E63*Довідник!$D$109</f>
        <v>86.94</v>
      </c>
      <c r="F66" s="304">
        <f>F63*Довідник!$D$109</f>
        <v>97.152000000000001</v>
      </c>
      <c r="G66" s="304">
        <f>G63*Довідник!$D$109</f>
        <v>96.768000000000001</v>
      </c>
      <c r="H66" s="304">
        <f>H63*Довідник!$D$109</f>
        <v>101.37599999999999</v>
      </c>
      <c r="I66" s="304">
        <f>I63*Довідник!$D$109</f>
        <v>106.44480000000001</v>
      </c>
      <c r="J66" s="304">
        <f>J63*Довідник!$D$109</f>
        <v>99.036000000000001</v>
      </c>
      <c r="K66" s="304">
        <f>K63*Довідник!$D$109</f>
        <v>82.252799999999993</v>
      </c>
      <c r="L66" s="304">
        <f>L63*Довідник!$D$109</f>
        <v>82.944000000000017</v>
      </c>
      <c r="M66" s="304">
        <f>M63*Довідник!$D$109</f>
        <v>70.08</v>
      </c>
      <c r="N66" s="306">
        <f t="shared" si="12"/>
        <v>1003.2912</v>
      </c>
    </row>
    <row r="67" spans="1:14" ht="13.8" thickBot="1" x14ac:dyDescent="0.3">
      <c r="A67" s="145" t="s">
        <v>99</v>
      </c>
      <c r="B67" s="304">
        <f>B63*Довідник!$E$109</f>
        <v>6.911999999999999</v>
      </c>
      <c r="C67" s="304">
        <f>C63*Довідник!$E$109</f>
        <v>8.1576000000000004</v>
      </c>
      <c r="D67" s="304">
        <f>D63*Довідник!$E$109</f>
        <v>11.975040000000002</v>
      </c>
      <c r="E67" s="304">
        <f>E63*Довідник!$E$109</f>
        <v>13.040999999999999</v>
      </c>
      <c r="F67" s="304">
        <f>F63*Довідник!$E$109</f>
        <v>14.572799999999999</v>
      </c>
      <c r="G67" s="304">
        <f>G63*Довідник!$E$109</f>
        <v>14.5152</v>
      </c>
      <c r="H67" s="304">
        <f>H63*Довідник!$E$109</f>
        <v>15.206399999999999</v>
      </c>
      <c r="I67" s="304">
        <f>I63*Довідник!$E$109</f>
        <v>15.966720000000002</v>
      </c>
      <c r="J67" s="304">
        <f>J63*Довідник!$E$109</f>
        <v>14.855400000000001</v>
      </c>
      <c r="K67" s="304">
        <f>K63*Довідник!$E$109</f>
        <v>12.337919999999999</v>
      </c>
      <c r="L67" s="304">
        <f>L63*Довідник!$E$109</f>
        <v>12.441600000000003</v>
      </c>
      <c r="M67" s="304">
        <f>M63*Довідник!$E$109</f>
        <v>10.511999999999999</v>
      </c>
      <c r="N67" s="306">
        <f t="shared" si="12"/>
        <v>150.49368000000001</v>
      </c>
    </row>
    <row r="68" spans="1:14" x14ac:dyDescent="0.25">
      <c r="A68" s="296" t="str">
        <f>A29</f>
        <v>Сир Рікотта</v>
      </c>
      <c r="B68" s="297">
        <f>'Виробничий план'!B34</f>
        <v>0.23552355062413322</v>
      </c>
      <c r="C68" s="297">
        <f>'Виробничий план'!C34</f>
        <v>0.27796685714285724</v>
      </c>
      <c r="D68" s="297">
        <f>'Виробничий план'!D34</f>
        <v>0.4080445514563108</v>
      </c>
      <c r="E68" s="297">
        <f>'Виробничий план'!E34</f>
        <v>0.44436669902912618</v>
      </c>
      <c r="F68" s="297">
        <f>'Виробничий план'!F34</f>
        <v>0.49656215256588071</v>
      </c>
      <c r="G68" s="297">
        <f>'Виробничий план'!G34</f>
        <v>0.4945994563106797</v>
      </c>
      <c r="H68" s="297">
        <f>'Виробничий план'!H34</f>
        <v>0.51815181137309307</v>
      </c>
      <c r="I68" s="297">
        <f>'Виробничий план'!I34</f>
        <v>0.54405940194174762</v>
      </c>
      <c r="J68" s="297">
        <f>'Виробничий план'!J34</f>
        <v>0.50619163106796117</v>
      </c>
      <c r="K68" s="297">
        <f>'Виробничий план'!K34</f>
        <v>0.42040953786407775</v>
      </c>
      <c r="L68" s="297">
        <f>'Виробничий план'!L34</f>
        <v>0.42394239112343962</v>
      </c>
      <c r="M68" s="297">
        <f>'Виробничий план'!M34</f>
        <v>0.35819206657420261</v>
      </c>
      <c r="N68" s="298">
        <f t="shared" si="12"/>
        <v>5.1280101070735098</v>
      </c>
    </row>
    <row r="69" spans="1:14" x14ac:dyDescent="0.25">
      <c r="A69" s="145" t="s">
        <v>291</v>
      </c>
      <c r="B69" s="304">
        <f>B68*Довідник!$B$112</f>
        <v>168.79972873231628</v>
      </c>
      <c r="C69" s="304">
        <f>C68*Довідник!$B$112</f>
        <v>199.21884651428579</v>
      </c>
      <c r="D69" s="304">
        <f>D68*Довідник!$B$112</f>
        <v>292.44553002873795</v>
      </c>
      <c r="E69" s="304">
        <f>E68*Довідник!$B$112</f>
        <v>318.47761319417475</v>
      </c>
      <c r="F69" s="304">
        <f>F68*Довідник!$B$112</f>
        <v>355.88609474396674</v>
      </c>
      <c r="G69" s="304">
        <f>G68*Довідник!$B$112</f>
        <v>354.47943033786419</v>
      </c>
      <c r="H69" s="304">
        <f>H68*Довідник!$B$112</f>
        <v>371.35940321109581</v>
      </c>
      <c r="I69" s="304">
        <f>I68*Довідник!$B$112</f>
        <v>389.92737337165056</v>
      </c>
      <c r="J69" s="304">
        <f>J68*Довідник!$B$112</f>
        <v>362.7875419864078</v>
      </c>
      <c r="K69" s="304">
        <f>K68*Довідник!$B$112</f>
        <v>301.30751578718457</v>
      </c>
      <c r="L69" s="304">
        <f>L68*Довідник!$B$112</f>
        <v>303.83951171816921</v>
      </c>
      <c r="M69" s="304">
        <f>M68*Довідник!$B$112</f>
        <v>256.716254113731</v>
      </c>
      <c r="N69" s="306">
        <f t="shared" si="12"/>
        <v>3675.2448437395838</v>
      </c>
    </row>
    <row r="70" spans="1:14" x14ac:dyDescent="0.25">
      <c r="A70" s="145" t="s">
        <v>94</v>
      </c>
      <c r="B70" s="304">
        <f>B68*Довідник!$C$112</f>
        <v>42.394239112343982</v>
      </c>
      <c r="C70" s="304">
        <f>C68*Довідник!$C$112</f>
        <v>50.034034285714306</v>
      </c>
      <c r="D70" s="304">
        <f>D68*Довідник!$C$112</f>
        <v>73.448019262135944</v>
      </c>
      <c r="E70" s="304">
        <f>E68*Довідник!$C$112</f>
        <v>79.986005825242714</v>
      </c>
      <c r="F70" s="304">
        <f>F68*Довідник!$C$112</f>
        <v>89.381187461858531</v>
      </c>
      <c r="G70" s="304">
        <f>G68*Довідник!$C$112</f>
        <v>89.027902135922346</v>
      </c>
      <c r="H70" s="304">
        <f>H68*Довідник!$C$112</f>
        <v>93.267326047156757</v>
      </c>
      <c r="I70" s="304">
        <f>I68*Довідник!$C$112</f>
        <v>97.930692349514572</v>
      </c>
      <c r="J70" s="304">
        <f>J68*Довідник!$C$112</f>
        <v>91.114493592233003</v>
      </c>
      <c r="K70" s="304">
        <f>K68*Довідник!$C$112</f>
        <v>75.673716815533993</v>
      </c>
      <c r="L70" s="304">
        <f>L68*Довідник!$C$112</f>
        <v>76.309630402219128</v>
      </c>
      <c r="M70" s="304">
        <f>M68*Довідник!$C$112</f>
        <v>64.474571983356469</v>
      </c>
      <c r="N70" s="306">
        <f t="shared" si="12"/>
        <v>923.04181927323168</v>
      </c>
    </row>
    <row r="71" spans="1:14" x14ac:dyDescent="0.25">
      <c r="A71" s="145" t="s">
        <v>95</v>
      </c>
      <c r="B71" s="304">
        <f>B68*Довідник!$D$112</f>
        <v>2.3552355062413319</v>
      </c>
      <c r="C71" s="304">
        <f>C68*Довідник!$D$112</f>
        <v>2.7796685714285725</v>
      </c>
      <c r="D71" s="304">
        <f>D68*Довідник!$D$112</f>
        <v>4.0804455145631078</v>
      </c>
      <c r="E71" s="304">
        <f>E68*Довідник!$D$112</f>
        <v>4.4436669902912618</v>
      </c>
      <c r="F71" s="304">
        <f>F68*Довідник!$D$112</f>
        <v>4.9656215256588068</v>
      </c>
      <c r="G71" s="304">
        <f>G68*Довідник!$D$112</f>
        <v>4.9459945631067974</v>
      </c>
      <c r="H71" s="304">
        <f>H68*Довідник!$D$112</f>
        <v>5.181518113730931</v>
      </c>
      <c r="I71" s="304">
        <f>I68*Довідник!$D$112</f>
        <v>5.4405940194174764</v>
      </c>
      <c r="J71" s="304">
        <f>J68*Довідник!$D$112</f>
        <v>5.0619163106796119</v>
      </c>
      <c r="K71" s="304">
        <f>K68*Довідник!$D$112</f>
        <v>4.204095378640778</v>
      </c>
      <c r="L71" s="304">
        <f>L68*Довідник!$D$112</f>
        <v>4.2394239112343959</v>
      </c>
      <c r="M71" s="304">
        <f>M68*Довідник!$D$112</f>
        <v>3.5819206657420262</v>
      </c>
      <c r="N71" s="306">
        <f t="shared" si="12"/>
        <v>51.2801010707351</v>
      </c>
    </row>
    <row r="72" spans="1:14" ht="13.8" thickBot="1" x14ac:dyDescent="0.3">
      <c r="A72" s="307" t="s">
        <v>99</v>
      </c>
      <c r="B72" s="308">
        <f>B68*Довідник!$E$112</f>
        <v>1.177617753120666</v>
      </c>
      <c r="C72" s="308">
        <f>C68*Довідник!$E$112</f>
        <v>1.3898342857142862</v>
      </c>
      <c r="D72" s="308">
        <f>D68*Довідник!$E$112</f>
        <v>2.0402227572815539</v>
      </c>
      <c r="E72" s="308">
        <f>E68*Довідник!$E$112</f>
        <v>2.2218334951456309</v>
      </c>
      <c r="F72" s="308">
        <f>F68*Довідник!$E$112</f>
        <v>2.4828107628294034</v>
      </c>
      <c r="G72" s="308">
        <f>G68*Довідник!$E$112</f>
        <v>2.4729972815533987</v>
      </c>
      <c r="H72" s="308">
        <f>H68*Довідник!$E$112</f>
        <v>2.5907590568654655</v>
      </c>
      <c r="I72" s="308">
        <f>I68*Довідник!$E$112</f>
        <v>2.7202970097087382</v>
      </c>
      <c r="J72" s="308">
        <f>J68*Довідник!$E$112</f>
        <v>2.5309581553398059</v>
      </c>
      <c r="K72" s="308">
        <f>K68*Довідник!$E$112</f>
        <v>2.102047689320389</v>
      </c>
      <c r="L72" s="308">
        <f>L68*Довідник!$E$112</f>
        <v>2.1197119556171979</v>
      </c>
      <c r="M72" s="308">
        <f>M68*Довідник!$E$112</f>
        <v>1.7909603328710131</v>
      </c>
      <c r="N72" s="309">
        <f t="shared" si="12"/>
        <v>25.64005053536755</v>
      </c>
    </row>
    <row r="73" spans="1:14" ht="24.6" thickBot="1" x14ac:dyDescent="0.3">
      <c r="A73" s="273" t="s">
        <v>292</v>
      </c>
      <c r="B73" s="274">
        <f>B44+B49+B54+B59+B64+B69</f>
        <v>2284.6439539750349</v>
      </c>
      <c r="C73" s="274">
        <f t="shared" ref="C73:N73" si="13">C44+C49+C54+C59+C64+C69</f>
        <v>2696.3558331809527</v>
      </c>
      <c r="D73" s="274">
        <f t="shared" si="13"/>
        <v>3958.1456502617475</v>
      </c>
      <c r="E73" s="274">
        <f t="shared" si="13"/>
        <v>4310.4805850388339</v>
      </c>
      <c r="F73" s="274">
        <f t="shared" si="13"/>
        <v>4816.7910029640316</v>
      </c>
      <c r="G73" s="274">
        <f t="shared" si="13"/>
        <v>4797.7523033475727</v>
      </c>
      <c r="H73" s="274">
        <f t="shared" si="13"/>
        <v>5026.2166987450755</v>
      </c>
      <c r="I73" s="274">
        <f t="shared" si="13"/>
        <v>5277.5275336823306</v>
      </c>
      <c r="J73" s="274">
        <f t="shared" si="13"/>
        <v>4910.1996229572824</v>
      </c>
      <c r="K73" s="274">
        <f t="shared" si="13"/>
        <v>4078.0894578454368</v>
      </c>
      <c r="L73" s="274">
        <f t="shared" si="13"/>
        <v>4112.3591171550634</v>
      </c>
      <c r="M73" s="274">
        <f t="shared" si="13"/>
        <v>3474.562680003698</v>
      </c>
      <c r="N73" s="275">
        <f t="shared" si="13"/>
        <v>49743.124439157058</v>
      </c>
    </row>
    <row r="74" spans="1:14" ht="24.6" thickBot="1" x14ac:dyDescent="0.3">
      <c r="A74" s="273" t="s">
        <v>293</v>
      </c>
      <c r="B74" s="274">
        <f t="shared" ref="B74:N74" si="14">B45+B50+B55+B60+B65+B70</f>
        <v>489.20762052704578</v>
      </c>
      <c r="C74" s="274">
        <f t="shared" si="14"/>
        <v>577.36691047619047</v>
      </c>
      <c r="D74" s="274">
        <f t="shared" si="14"/>
        <v>847.55220256310702</v>
      </c>
      <c r="E74" s="274">
        <f t="shared" si="14"/>
        <v>922.99719029126209</v>
      </c>
      <c r="F74" s="274">
        <f t="shared" si="14"/>
        <v>1031.4127332778548</v>
      </c>
      <c r="G74" s="274">
        <f t="shared" si="14"/>
        <v>1027.3360031067962</v>
      </c>
      <c r="H74" s="274">
        <f t="shared" si="14"/>
        <v>1076.2567651595007</v>
      </c>
      <c r="I74" s="274">
        <f t="shared" si="14"/>
        <v>1130.0696034174757</v>
      </c>
      <c r="J74" s="274">
        <f t="shared" si="14"/>
        <v>1051.4141906796117</v>
      </c>
      <c r="K74" s="274">
        <f t="shared" si="14"/>
        <v>873.23560264077662</v>
      </c>
      <c r="L74" s="274">
        <f t="shared" si="14"/>
        <v>880.57371694868255</v>
      </c>
      <c r="M74" s="274">
        <f t="shared" si="14"/>
        <v>744.00325621821537</v>
      </c>
      <c r="N74" s="275">
        <f t="shared" si="14"/>
        <v>10651.425795306521</v>
      </c>
    </row>
    <row r="75" spans="1:14" ht="24.6" thickBot="1" x14ac:dyDescent="0.3">
      <c r="A75" s="273" t="s">
        <v>294</v>
      </c>
      <c r="B75" s="274">
        <f t="shared" ref="B75:N75" si="15">B46+B51+B56+B61+B66+B71</f>
        <v>108.99077503467406</v>
      </c>
      <c r="C75" s="274">
        <f t="shared" si="15"/>
        <v>128.63182095238096</v>
      </c>
      <c r="D75" s="274">
        <f t="shared" si="15"/>
        <v>188.82651774757284</v>
      </c>
      <c r="E75" s="274">
        <f t="shared" si="15"/>
        <v>205.63493883495147</v>
      </c>
      <c r="F75" s="274">
        <f t="shared" si="15"/>
        <v>229.78888403143782</v>
      </c>
      <c r="G75" s="274">
        <f t="shared" si="15"/>
        <v>228.88062757281551</v>
      </c>
      <c r="H75" s="274">
        <f t="shared" si="15"/>
        <v>239.77970507628294</v>
      </c>
      <c r="I75" s="274">
        <f t="shared" si="15"/>
        <v>251.76869033009712</v>
      </c>
      <c r="J75" s="274">
        <f t="shared" si="15"/>
        <v>234.2450172815534</v>
      </c>
      <c r="K75" s="274">
        <f t="shared" si="15"/>
        <v>194.54853343689319</v>
      </c>
      <c r="L75" s="274">
        <f t="shared" si="15"/>
        <v>196.18339506241333</v>
      </c>
      <c r="M75" s="274">
        <f t="shared" si="15"/>
        <v>165.75680369856678</v>
      </c>
      <c r="N75" s="275">
        <f t="shared" si="15"/>
        <v>2373.0357090596399</v>
      </c>
    </row>
    <row r="76" spans="1:14" ht="24.6" thickBot="1" x14ac:dyDescent="0.3">
      <c r="A76" s="273" t="s">
        <v>295</v>
      </c>
      <c r="B76" s="274">
        <f t="shared" ref="B76:N76" si="16">B47+B52+B57+B62+B67+B72</f>
        <v>12.532357503467404</v>
      </c>
      <c r="C76" s="274">
        <f t="shared" si="16"/>
        <v>14.790792761904763</v>
      </c>
      <c r="D76" s="274">
        <f t="shared" si="16"/>
        <v>21.712309374757286</v>
      </c>
      <c r="E76" s="274">
        <f t="shared" si="16"/>
        <v>23.645033883495145</v>
      </c>
      <c r="F76" s="274">
        <f t="shared" si="16"/>
        <v>26.422387069810448</v>
      </c>
      <c r="G76" s="274">
        <f t="shared" si="16"/>
        <v>26.317950757281551</v>
      </c>
      <c r="H76" s="274">
        <f t="shared" si="16"/>
        <v>27.571186507628294</v>
      </c>
      <c r="I76" s="274">
        <f t="shared" si="16"/>
        <v>28.949745833009711</v>
      </c>
      <c r="J76" s="274">
        <f t="shared" si="16"/>
        <v>26.934777728155343</v>
      </c>
      <c r="K76" s="274">
        <f t="shared" si="16"/>
        <v>22.37025814368932</v>
      </c>
      <c r="L76" s="274">
        <f t="shared" si="16"/>
        <v>22.558243506241336</v>
      </c>
      <c r="M76" s="274">
        <f t="shared" si="16"/>
        <v>19.059627036523345</v>
      </c>
      <c r="N76" s="275">
        <f t="shared" si="16"/>
        <v>272.86467010596397</v>
      </c>
    </row>
    <row r="79" spans="1:14" ht="14.4" customHeight="1" thickBot="1" x14ac:dyDescent="0.3">
      <c r="A79" s="486" t="s">
        <v>290</v>
      </c>
      <c r="B79" s="486"/>
      <c r="C79" s="486"/>
      <c r="D79" s="486"/>
      <c r="E79" s="486"/>
      <c r="F79" s="486"/>
      <c r="G79" s="486"/>
      <c r="H79" s="486"/>
      <c r="I79" s="486"/>
      <c r="J79" s="486"/>
      <c r="K79" s="486"/>
      <c r="L79" s="486"/>
      <c r="M79" s="486"/>
      <c r="N79" s="486"/>
    </row>
    <row r="80" spans="1:14" x14ac:dyDescent="0.25">
      <c r="A80" s="487" t="s">
        <v>32</v>
      </c>
      <c r="B80" s="489" t="s">
        <v>33</v>
      </c>
      <c r="C80" s="490"/>
      <c r="D80" s="490"/>
      <c r="E80" s="490"/>
      <c r="F80" s="490"/>
      <c r="G80" s="490"/>
      <c r="H80" s="490"/>
      <c r="I80" s="490"/>
      <c r="J80" s="490"/>
      <c r="K80" s="490"/>
      <c r="L80" s="490"/>
      <c r="M80" s="491"/>
      <c r="N80" s="492" t="s">
        <v>209</v>
      </c>
    </row>
    <row r="81" spans="1:14" ht="13.8" thickBot="1" x14ac:dyDescent="0.3">
      <c r="A81" s="502"/>
      <c r="B81" s="294" t="s">
        <v>34</v>
      </c>
      <c r="C81" s="295" t="s">
        <v>35</v>
      </c>
      <c r="D81" s="295" t="s">
        <v>36</v>
      </c>
      <c r="E81" s="295" t="s">
        <v>37</v>
      </c>
      <c r="F81" s="295" t="s">
        <v>38</v>
      </c>
      <c r="G81" s="295" t="s">
        <v>39</v>
      </c>
      <c r="H81" s="295" t="s">
        <v>40</v>
      </c>
      <c r="I81" s="295" t="s">
        <v>41</v>
      </c>
      <c r="J81" s="295" t="s">
        <v>42</v>
      </c>
      <c r="K81" s="295" t="s">
        <v>43</v>
      </c>
      <c r="L81" s="295" t="s">
        <v>44</v>
      </c>
      <c r="M81" s="295" t="s">
        <v>45</v>
      </c>
      <c r="N81" s="503"/>
    </row>
    <row r="82" spans="1:14" x14ac:dyDescent="0.25">
      <c r="A82" s="296" t="str">
        <f>A4</f>
        <v>Молоко питне</v>
      </c>
      <c r="B82" s="297">
        <f>'Виробничий план'!B42</f>
        <v>2.3359999999999999</v>
      </c>
      <c r="C82" s="297">
        <f>'Виробничий план'!C42</f>
        <v>2.8992</v>
      </c>
      <c r="D82" s="297">
        <f>'Виробничий план'!D42</f>
        <v>3.8684799999999999</v>
      </c>
      <c r="E82" s="297">
        <f>'Виробничий план'!E42</f>
        <v>4.0571999999999999</v>
      </c>
      <c r="F82" s="297">
        <f>'Виробничий план'!F42</f>
        <v>4.6745600000000005</v>
      </c>
      <c r="G82" s="297">
        <f>'Виробничий план'!G42</f>
        <v>4.7409600000000003</v>
      </c>
      <c r="H82" s="297">
        <f>'Виробничий план'!H42</f>
        <v>4.9966400000000002</v>
      </c>
      <c r="I82" s="297">
        <f>'Виробничий план'!I42</f>
        <v>4.9966400000000002</v>
      </c>
      <c r="J82" s="297">
        <f>'Виробничий план'!J42</f>
        <v>4.6502400000000002</v>
      </c>
      <c r="K82" s="297">
        <f>'Виробничий план'!K42</f>
        <v>4.4855999999999998</v>
      </c>
      <c r="L82" s="297">
        <f>'Виробничий план'!L42</f>
        <v>3.4560000000000004</v>
      </c>
      <c r="M82" s="297">
        <f>'Виробничий план'!M42</f>
        <v>2.9119999999999999</v>
      </c>
      <c r="N82" s="298">
        <f>SUM(B82:M82)</f>
        <v>48.073520000000002</v>
      </c>
    </row>
    <row r="83" spans="1:14" x14ac:dyDescent="0.25">
      <c r="A83" s="145" t="s">
        <v>291</v>
      </c>
      <c r="B83" s="304">
        <f>B82*Довідник!$B$105</f>
        <v>389.64479999999998</v>
      </c>
      <c r="C83" s="304">
        <f>C82*Довідник!$B$105</f>
        <v>483.58656000000002</v>
      </c>
      <c r="D83" s="304">
        <f>D82*Довідник!$B$105</f>
        <v>645.26246400000002</v>
      </c>
      <c r="E83" s="304">
        <f>E82*Довідник!$B$105</f>
        <v>676.74096000000009</v>
      </c>
      <c r="F83" s="304">
        <f>F82*Довідник!$B$105</f>
        <v>779.71660800000018</v>
      </c>
      <c r="G83" s="304">
        <f>G82*Довідник!$B$105</f>
        <v>790.79212800000005</v>
      </c>
      <c r="H83" s="304">
        <f>H82*Довідник!$B$105</f>
        <v>833.43955200000005</v>
      </c>
      <c r="I83" s="304">
        <f>I82*Довідник!$B$105</f>
        <v>833.43955200000005</v>
      </c>
      <c r="J83" s="304">
        <f>J82*Довідник!$B$105</f>
        <v>775.66003200000011</v>
      </c>
      <c r="K83" s="304">
        <f>K82*Довідник!$B$105</f>
        <v>748.19808</v>
      </c>
      <c r="L83" s="304">
        <f>L82*Довідник!$B$105</f>
        <v>576.46080000000006</v>
      </c>
      <c r="M83" s="304">
        <f>M82*Довідник!$B$105</f>
        <v>485.72160000000002</v>
      </c>
      <c r="N83" s="305">
        <f t="shared" ref="N83:N86" si="17">SUM(B83:M83)</f>
        <v>8018.6631360000001</v>
      </c>
    </row>
    <row r="84" spans="1:14" x14ac:dyDescent="0.25">
      <c r="A84" s="145" t="s">
        <v>94</v>
      </c>
      <c r="B84" s="304">
        <f>B82*Довідник!$C$105</f>
        <v>74.751999999999995</v>
      </c>
      <c r="C84" s="304">
        <f>C82*Довідник!$C$105</f>
        <v>92.7744</v>
      </c>
      <c r="D84" s="304">
        <f>D82*Довідник!$C$105</f>
        <v>123.79136</v>
      </c>
      <c r="E84" s="304">
        <f>E82*Довідник!$C$105</f>
        <v>129.8304</v>
      </c>
      <c r="F84" s="304">
        <f>F82*Довідник!$C$105</f>
        <v>149.58592000000002</v>
      </c>
      <c r="G84" s="304">
        <f>G82*Довідник!$C$105</f>
        <v>151.71072000000001</v>
      </c>
      <c r="H84" s="304">
        <f>H82*Довідник!$C$105</f>
        <v>159.89248000000001</v>
      </c>
      <c r="I84" s="304">
        <f>I82*Довідник!$C$105</f>
        <v>159.89248000000001</v>
      </c>
      <c r="J84" s="304">
        <f>J82*Довідник!$C$105</f>
        <v>148.80768</v>
      </c>
      <c r="K84" s="304">
        <f>K82*Довідник!$C$105</f>
        <v>143.53919999999999</v>
      </c>
      <c r="L84" s="304">
        <f>L82*Довідник!$C$105</f>
        <v>110.59200000000001</v>
      </c>
      <c r="M84" s="304">
        <f>M82*Довідник!$C$105</f>
        <v>93.183999999999997</v>
      </c>
      <c r="N84" s="305">
        <f t="shared" si="17"/>
        <v>1538.3526400000001</v>
      </c>
    </row>
    <row r="85" spans="1:14" x14ac:dyDescent="0.25">
      <c r="A85" s="145" t="s">
        <v>95</v>
      </c>
      <c r="B85" s="304">
        <f>B82*Довідник!$D$105</f>
        <v>12.847999999999999</v>
      </c>
      <c r="C85" s="304">
        <f>C82*Довідник!$D$105</f>
        <v>15.945600000000001</v>
      </c>
      <c r="D85" s="304">
        <f>D82*Довідник!$D$105</f>
        <v>21.27664</v>
      </c>
      <c r="E85" s="304">
        <f>E82*Довідник!$D$105</f>
        <v>22.314599999999999</v>
      </c>
      <c r="F85" s="304">
        <f>F82*Довідник!$D$105</f>
        <v>25.710080000000001</v>
      </c>
      <c r="G85" s="304">
        <f>G82*Довідник!$D$105</f>
        <v>26.075280000000003</v>
      </c>
      <c r="H85" s="304">
        <f>H82*Довідник!$D$105</f>
        <v>27.48152</v>
      </c>
      <c r="I85" s="304">
        <f>I82*Довідник!$D$105</f>
        <v>27.48152</v>
      </c>
      <c r="J85" s="304">
        <f>J82*Довідник!$D$105</f>
        <v>25.576320000000003</v>
      </c>
      <c r="K85" s="304">
        <f>K82*Довідник!$D$105</f>
        <v>24.6708</v>
      </c>
      <c r="L85" s="304">
        <f>L82*Довідник!$D$105</f>
        <v>19.008000000000003</v>
      </c>
      <c r="M85" s="304">
        <f>M82*Довідник!$D$105</f>
        <v>16.015999999999998</v>
      </c>
      <c r="N85" s="305">
        <f t="shared" si="17"/>
        <v>264.40436</v>
      </c>
    </row>
    <row r="86" spans="1:14" ht="13.8" thickBot="1" x14ac:dyDescent="0.3">
      <c r="A86" s="145" t="s">
        <v>99</v>
      </c>
      <c r="B86" s="304">
        <f>B82*Довідник!$E$105</f>
        <v>0.65407999999999999</v>
      </c>
      <c r="C86" s="304">
        <f>C82*Довідник!$E$105</f>
        <v>0.81177600000000005</v>
      </c>
      <c r="D86" s="304">
        <f>D82*Довідник!$E$105</f>
        <v>1.0831744000000001</v>
      </c>
      <c r="E86" s="304">
        <f>E82*Довідник!$E$105</f>
        <v>1.1360160000000001</v>
      </c>
      <c r="F86" s="304">
        <f>F82*Довідник!$E$105</f>
        <v>1.3088768000000002</v>
      </c>
      <c r="G86" s="304">
        <f>G82*Довідник!$E$105</f>
        <v>1.3274688000000001</v>
      </c>
      <c r="H86" s="304">
        <f>H82*Довідник!$E$105</f>
        <v>1.3990592000000002</v>
      </c>
      <c r="I86" s="304">
        <f>I82*Довідник!$E$105</f>
        <v>1.3990592000000002</v>
      </c>
      <c r="J86" s="304">
        <f>J82*Довідник!$E$105</f>
        <v>1.3020672000000002</v>
      </c>
      <c r="K86" s="304">
        <f>K82*Довідник!$E$105</f>
        <v>1.255968</v>
      </c>
      <c r="L86" s="304">
        <f>L82*Довідник!$E$105</f>
        <v>0.96768000000000021</v>
      </c>
      <c r="M86" s="304">
        <f>M82*Довідник!$E$105</f>
        <v>0.81536000000000008</v>
      </c>
      <c r="N86" s="305">
        <f t="shared" si="17"/>
        <v>13.4605856</v>
      </c>
    </row>
    <row r="87" spans="1:14" x14ac:dyDescent="0.25">
      <c r="A87" s="296" t="str">
        <f>A9</f>
        <v>Сир кисломолочний</v>
      </c>
      <c r="B87" s="297">
        <f>'Виробничий план'!B44</f>
        <v>0.77866666666666662</v>
      </c>
      <c r="C87" s="297">
        <f>'Виробничий план'!C44</f>
        <v>0.96640000000000004</v>
      </c>
      <c r="D87" s="297">
        <f>'Виробничий план'!D44</f>
        <v>1.2894933333333334</v>
      </c>
      <c r="E87" s="297">
        <f>'Виробничий план'!E44</f>
        <v>1.3524</v>
      </c>
      <c r="F87" s="297">
        <f>'Виробничий план'!F44</f>
        <v>1.5581866666666668</v>
      </c>
      <c r="G87" s="297">
        <f>'Виробничий план'!G44</f>
        <v>1.5803200000000002</v>
      </c>
      <c r="H87" s="297">
        <f>'Виробничий план'!H44</f>
        <v>1.6655466666666667</v>
      </c>
      <c r="I87" s="297">
        <f>'Виробничий план'!I44</f>
        <v>1.6655466666666667</v>
      </c>
      <c r="J87" s="297">
        <f>'Виробничий план'!J44</f>
        <v>1.5500800000000001</v>
      </c>
      <c r="K87" s="297">
        <f>'Виробничий план'!K44</f>
        <v>1.4951999999999999</v>
      </c>
      <c r="L87" s="297">
        <f>'Виробничий план'!L44</f>
        <v>1.1520000000000001</v>
      </c>
      <c r="M87" s="297">
        <f>'Виробничий план'!M44</f>
        <v>0.97066666666666668</v>
      </c>
      <c r="N87" s="298">
        <f>SUM(B87:M87)</f>
        <v>16.024506666666667</v>
      </c>
    </row>
    <row r="88" spans="1:14" x14ac:dyDescent="0.25">
      <c r="A88" s="145" t="s">
        <v>291</v>
      </c>
      <c r="B88" s="304">
        <f>B87*Довідник!$B$106</f>
        <v>292.3114666666666</v>
      </c>
      <c r="C88" s="304">
        <f>C87*Довідник!$B$106</f>
        <v>362.78656000000001</v>
      </c>
      <c r="D88" s="304">
        <f>D87*Довідник!$B$106</f>
        <v>484.0757973333333</v>
      </c>
      <c r="E88" s="304">
        <f>E87*Довідник!$B$106</f>
        <v>507.69095999999996</v>
      </c>
      <c r="F88" s="304">
        <f>F87*Довідник!$B$106</f>
        <v>584.94327466666664</v>
      </c>
      <c r="G88" s="304">
        <f>G87*Довідник!$B$106</f>
        <v>593.25212800000008</v>
      </c>
      <c r="H88" s="304">
        <f>H87*Довідник!$B$106</f>
        <v>625.24621866666666</v>
      </c>
      <c r="I88" s="304">
        <f>I87*Довідник!$B$106</f>
        <v>625.24621866666666</v>
      </c>
      <c r="J88" s="304">
        <f>J87*Довідник!$B$106</f>
        <v>581.90003200000001</v>
      </c>
      <c r="K88" s="304">
        <f>K87*Довідник!$B$106</f>
        <v>561.29807999999991</v>
      </c>
      <c r="L88" s="304">
        <f>L87*Довідник!$B$106</f>
        <v>432.46080000000001</v>
      </c>
      <c r="M88" s="304">
        <f>M87*Довідник!$B$106</f>
        <v>364.38826666666665</v>
      </c>
      <c r="N88" s="305">
        <f t="shared" ref="N88:N91" si="18">SUM(B88:M88)</f>
        <v>6015.5998026666657</v>
      </c>
    </row>
    <row r="89" spans="1:14" x14ac:dyDescent="0.25">
      <c r="A89" s="145" t="s">
        <v>94</v>
      </c>
      <c r="B89" s="304">
        <f>B87*Довідник!$C$106</f>
        <v>99.669333333333327</v>
      </c>
      <c r="C89" s="304">
        <f>C87*Довідник!$C$106</f>
        <v>123.6992</v>
      </c>
      <c r="D89" s="304">
        <f>D87*Довідник!$C$106</f>
        <v>165.05514666666667</v>
      </c>
      <c r="E89" s="304">
        <f>E87*Довідник!$C$106</f>
        <v>173.10720000000001</v>
      </c>
      <c r="F89" s="304">
        <f>F87*Довідник!$C$106</f>
        <v>199.44789333333335</v>
      </c>
      <c r="G89" s="304">
        <f>G87*Довідник!$C$106</f>
        <v>202.28096000000002</v>
      </c>
      <c r="H89" s="304">
        <f>H87*Довідник!$C$106</f>
        <v>213.18997333333334</v>
      </c>
      <c r="I89" s="304">
        <f>I87*Довідник!$C$106</f>
        <v>213.18997333333334</v>
      </c>
      <c r="J89" s="304">
        <f>J87*Довідник!$C$106</f>
        <v>198.41024000000002</v>
      </c>
      <c r="K89" s="304">
        <f>K87*Довідник!$C$106</f>
        <v>191.38559999999998</v>
      </c>
      <c r="L89" s="304">
        <f>L87*Довідник!$C$106</f>
        <v>147.45600000000002</v>
      </c>
      <c r="M89" s="304">
        <f>M87*Довідник!$C$106</f>
        <v>124.24533333333333</v>
      </c>
      <c r="N89" s="305">
        <f t="shared" si="18"/>
        <v>2051.1368533333334</v>
      </c>
    </row>
    <row r="90" spans="1:14" x14ac:dyDescent="0.25">
      <c r="A90" s="145" t="s">
        <v>95</v>
      </c>
      <c r="B90" s="304">
        <f>B87*Довідник!$D$106</f>
        <v>28.810666666666666</v>
      </c>
      <c r="C90" s="304">
        <f>C87*Довідник!$D$106</f>
        <v>35.756799999999998</v>
      </c>
      <c r="D90" s="304">
        <f>D87*Довідник!$D$106</f>
        <v>47.711253333333332</v>
      </c>
      <c r="E90" s="304">
        <f>E87*Довідник!$D$106</f>
        <v>50.038800000000002</v>
      </c>
      <c r="F90" s="304">
        <f>F87*Довідник!$D$106</f>
        <v>57.652906666666674</v>
      </c>
      <c r="G90" s="304">
        <f>G87*Довідник!$D$106</f>
        <v>58.471840000000007</v>
      </c>
      <c r="H90" s="304">
        <f>H87*Довідник!$D$106</f>
        <v>61.62522666666667</v>
      </c>
      <c r="I90" s="304">
        <f>I87*Довідник!$D$106</f>
        <v>61.62522666666667</v>
      </c>
      <c r="J90" s="304">
        <f>J87*Довідник!$D$106</f>
        <v>57.352960000000003</v>
      </c>
      <c r="K90" s="304">
        <f>K87*Довідник!$D$106</f>
        <v>55.322399999999995</v>
      </c>
      <c r="L90" s="304">
        <f>L87*Довідник!$D$106</f>
        <v>42.624000000000002</v>
      </c>
      <c r="M90" s="304">
        <f>M87*Довідник!$D$106</f>
        <v>35.914666666666669</v>
      </c>
      <c r="N90" s="305">
        <f t="shared" si="18"/>
        <v>592.90674666666666</v>
      </c>
    </row>
    <row r="91" spans="1:14" ht="13.8" thickBot="1" x14ac:dyDescent="0.3">
      <c r="A91" s="145" t="s">
        <v>99</v>
      </c>
      <c r="B91" s="304">
        <f>B87*Довідник!$E$106</f>
        <v>0.99669333333333332</v>
      </c>
      <c r="C91" s="304">
        <f>C87*Довідник!$E$106</f>
        <v>1.2369920000000001</v>
      </c>
      <c r="D91" s="304">
        <f>D87*Довідник!$E$106</f>
        <v>1.6505514666666667</v>
      </c>
      <c r="E91" s="304">
        <f>E87*Довідник!$E$106</f>
        <v>1.7310720000000002</v>
      </c>
      <c r="F91" s="304">
        <f>F87*Довідник!$E$106</f>
        <v>1.9944789333333335</v>
      </c>
      <c r="G91" s="304">
        <f>G87*Довідник!$E$106</f>
        <v>2.0228096000000004</v>
      </c>
      <c r="H91" s="304">
        <f>H87*Довідник!$E$106</f>
        <v>2.1318997333333334</v>
      </c>
      <c r="I91" s="304">
        <f>I87*Довідник!$E$106</f>
        <v>2.1318997333333334</v>
      </c>
      <c r="J91" s="304">
        <f>J87*Довідник!$E$106</f>
        <v>1.9841024000000003</v>
      </c>
      <c r="K91" s="304">
        <f>K87*Довідник!$E$106</f>
        <v>1.9138559999999998</v>
      </c>
      <c r="L91" s="304">
        <f>L87*Довідник!$E$106</f>
        <v>1.4745600000000001</v>
      </c>
      <c r="M91" s="304">
        <f>M87*Довідник!$E$106</f>
        <v>1.2424533333333334</v>
      </c>
      <c r="N91" s="305">
        <f t="shared" si="18"/>
        <v>20.511368533333336</v>
      </c>
    </row>
    <row r="92" spans="1:14" x14ac:dyDescent="0.25">
      <c r="A92" s="296" t="str">
        <f>A14</f>
        <v>Кефір</v>
      </c>
      <c r="B92" s="297">
        <f>'Виробничий план'!B46</f>
        <v>6.8038834951456302</v>
      </c>
      <c r="C92" s="297">
        <f>'Виробничий план'!C46</f>
        <v>8.444271844660193</v>
      </c>
      <c r="D92" s="297">
        <f>'Виробничий план'!D46</f>
        <v>11.267417475728157</v>
      </c>
      <c r="E92" s="297">
        <f>'Виробничий план'!E46</f>
        <v>11.817087378640778</v>
      </c>
      <c r="F92" s="297">
        <f>'Виробничий план'!F46</f>
        <v>13.615223300970875</v>
      </c>
      <c r="G92" s="297">
        <f>'Виробничий план'!G46</f>
        <v>13.8086213592233</v>
      </c>
      <c r="H92" s="297">
        <f>'Виробничий план'!H46</f>
        <v>14.553320388349514</v>
      </c>
      <c r="I92" s="297">
        <f>'Виробничий план'!I46</f>
        <v>14.553320388349514</v>
      </c>
      <c r="J92" s="297">
        <f>'Виробничий план'!J46</f>
        <v>13.544388349514563</v>
      </c>
      <c r="K92" s="297">
        <f>'Виробничий план'!K46</f>
        <v>13.064854368932039</v>
      </c>
      <c r="L92" s="297">
        <f>'Виробничий план'!L46</f>
        <v>10.066019417475729</v>
      </c>
      <c r="M92" s="297">
        <f>'Виробничий план'!M46</f>
        <v>8.4815533980582511</v>
      </c>
      <c r="N92" s="298">
        <f>SUM(B92:M92)</f>
        <v>140.01996116504856</v>
      </c>
    </row>
    <row r="93" spans="1:14" x14ac:dyDescent="0.25">
      <c r="A93" s="145" t="s">
        <v>291</v>
      </c>
      <c r="B93" s="304">
        <f>B92*Довідник!$B$107</f>
        <v>1579.1813592233007</v>
      </c>
      <c r="C93" s="304">
        <f>C92*Довідник!$B$107</f>
        <v>1959.9154951456308</v>
      </c>
      <c r="D93" s="304">
        <f>D92*Довідник!$B$107</f>
        <v>2615.1675961165051</v>
      </c>
      <c r="E93" s="304">
        <f>E92*Довідник!$B$107</f>
        <v>2742.7459805825247</v>
      </c>
      <c r="F93" s="304">
        <f>F92*Довідник!$B$107</f>
        <v>3160.0933281553403</v>
      </c>
      <c r="G93" s="304">
        <f>G92*Довідник!$B$107</f>
        <v>3204.9810174757281</v>
      </c>
      <c r="H93" s="304">
        <f>H92*Довідник!$B$107</f>
        <v>3377.8256621359219</v>
      </c>
      <c r="I93" s="304">
        <f>I92*Довідник!$B$107</f>
        <v>3377.8256621359219</v>
      </c>
      <c r="J93" s="304">
        <f>J92*Довідник!$B$107</f>
        <v>3143.6525359223301</v>
      </c>
      <c r="K93" s="304">
        <f>K92*Довідник!$B$107</f>
        <v>3032.3526990291261</v>
      </c>
      <c r="L93" s="304">
        <f>L92*Довідник!$B$107</f>
        <v>2336.3231067961169</v>
      </c>
      <c r="M93" s="304">
        <f>M92*Довідник!$B$107</f>
        <v>1968.56854368932</v>
      </c>
      <c r="N93" s="305">
        <f t="shared" ref="N93:N96" si="19">SUM(B93:M93)</f>
        <v>32498.632986407763</v>
      </c>
    </row>
    <row r="94" spans="1:14" x14ac:dyDescent="0.25">
      <c r="A94" s="145" t="s">
        <v>94</v>
      </c>
      <c r="B94" s="304">
        <f>B92*Довідник!$C$107</f>
        <v>238.13592233009706</v>
      </c>
      <c r="C94" s="304">
        <f>C92*Довідник!$C$107</f>
        <v>295.54951456310675</v>
      </c>
      <c r="D94" s="304">
        <f>D92*Довідник!$C$107</f>
        <v>394.35961165048553</v>
      </c>
      <c r="E94" s="304">
        <f>E92*Довідник!$C$107</f>
        <v>413.59805825242722</v>
      </c>
      <c r="F94" s="304">
        <f>F92*Довідник!$C$107</f>
        <v>476.53281553398062</v>
      </c>
      <c r="G94" s="304">
        <f>G92*Довідник!$C$107</f>
        <v>483.30174757281554</v>
      </c>
      <c r="H94" s="304">
        <f>H92*Довідник!$C$107</f>
        <v>509.36621359223295</v>
      </c>
      <c r="I94" s="304">
        <f>I92*Довідник!$C$107</f>
        <v>509.36621359223295</v>
      </c>
      <c r="J94" s="304">
        <f>J92*Довідник!$C$107</f>
        <v>474.05359223300968</v>
      </c>
      <c r="K94" s="304">
        <f>K92*Довідник!$C$107</f>
        <v>457.26990291262138</v>
      </c>
      <c r="L94" s="304">
        <f>L92*Довідник!$C$107</f>
        <v>352.31067961165053</v>
      </c>
      <c r="M94" s="304">
        <f>M92*Довідник!$C$107</f>
        <v>296.85436893203877</v>
      </c>
      <c r="N94" s="305">
        <f t="shared" si="19"/>
        <v>4900.698640776699</v>
      </c>
    </row>
    <row r="95" spans="1:14" x14ac:dyDescent="0.25">
      <c r="A95" s="145" t="s">
        <v>95</v>
      </c>
      <c r="B95" s="304">
        <f>B92*Довідник!$D$107</f>
        <v>37.421359223300968</v>
      </c>
      <c r="C95" s="304">
        <f>C92*Довідник!$D$107</f>
        <v>46.443495145631061</v>
      </c>
      <c r="D95" s="304">
        <f>D92*Довідник!$D$107</f>
        <v>61.970796116504864</v>
      </c>
      <c r="E95" s="304">
        <f>E92*Довідник!$D$107</f>
        <v>64.993980582524273</v>
      </c>
      <c r="F95" s="304">
        <f>F92*Довідник!$D$107</f>
        <v>74.88372815533981</v>
      </c>
      <c r="G95" s="304">
        <f>G92*Довідник!$D$107</f>
        <v>75.947417475728159</v>
      </c>
      <c r="H95" s="304">
        <f>H92*Довідник!$D$107</f>
        <v>80.043262135922319</v>
      </c>
      <c r="I95" s="304">
        <f>I92*Довідник!$D$107</f>
        <v>80.043262135922319</v>
      </c>
      <c r="J95" s="304">
        <f>J92*Довідник!$D$107</f>
        <v>74.494135922330088</v>
      </c>
      <c r="K95" s="304">
        <f>K92*Довідник!$D$107</f>
        <v>71.856699029126219</v>
      </c>
      <c r="L95" s="304">
        <f>L92*Довідник!$D$107</f>
        <v>55.363106796116512</v>
      </c>
      <c r="M95" s="304">
        <f>M92*Довідник!$D$107</f>
        <v>46.648543689320384</v>
      </c>
      <c r="N95" s="305">
        <f t="shared" si="19"/>
        <v>770.10978640776705</v>
      </c>
    </row>
    <row r="96" spans="1:14" ht="13.8" thickBot="1" x14ac:dyDescent="0.3">
      <c r="A96" s="145" t="s">
        <v>99</v>
      </c>
      <c r="B96" s="304">
        <f>B92*Довідник!$E$107</f>
        <v>4.5586019417475727</v>
      </c>
      <c r="C96" s="304">
        <f>C92*Довідник!$E$107</f>
        <v>5.6576621359223296</v>
      </c>
      <c r="D96" s="304">
        <f>D92*Довідник!$E$107</f>
        <v>7.5491697087378657</v>
      </c>
      <c r="E96" s="304">
        <f>E92*Довідник!$E$107</f>
        <v>7.9174485436893223</v>
      </c>
      <c r="F96" s="304">
        <f>F92*Довідник!$E$107</f>
        <v>9.1221996116504869</v>
      </c>
      <c r="G96" s="304">
        <f>G92*Довідник!$E$107</f>
        <v>9.2517763106796114</v>
      </c>
      <c r="H96" s="304">
        <f>H92*Довідник!$E$107</f>
        <v>9.7507246601941748</v>
      </c>
      <c r="I96" s="304">
        <f>I92*Довідник!$E$107</f>
        <v>9.7507246601941748</v>
      </c>
      <c r="J96" s="304">
        <f>J92*Довідник!$E$107</f>
        <v>9.0747401941747583</v>
      </c>
      <c r="K96" s="304">
        <f>K92*Довідник!$E$107</f>
        <v>8.7534524271844667</v>
      </c>
      <c r="L96" s="304">
        <f>L92*Довідник!$E$107</f>
        <v>6.7442330097087391</v>
      </c>
      <c r="M96" s="304">
        <f>M92*Довідник!$E$107</f>
        <v>5.6826407766990288</v>
      </c>
      <c r="N96" s="305">
        <f t="shared" si="19"/>
        <v>93.813373980582526</v>
      </c>
    </row>
    <row r="97" spans="1:14" x14ac:dyDescent="0.25">
      <c r="A97" s="296" t="str">
        <f>A19</f>
        <v>Сметана</v>
      </c>
      <c r="B97" s="297">
        <f>'Виробничий план'!B48</f>
        <v>0.33371428571428569</v>
      </c>
      <c r="C97" s="297">
        <f>'Виробничий план'!C48</f>
        <v>0.41417142857142858</v>
      </c>
      <c r="D97" s="297">
        <f>'Виробничий план'!D48</f>
        <v>0.55264000000000002</v>
      </c>
      <c r="E97" s="297">
        <f>'Виробничий план'!E48</f>
        <v>0.5796</v>
      </c>
      <c r="F97" s="297">
        <f>'Виробничий план'!F48</f>
        <v>0.66779428571428578</v>
      </c>
      <c r="G97" s="297">
        <f>'Виробничий план'!G48</f>
        <v>0.67727999999999999</v>
      </c>
      <c r="H97" s="297">
        <f>'Виробничий план'!H48</f>
        <v>0.71380571428571427</v>
      </c>
      <c r="I97" s="297">
        <f>'Виробничий план'!I48</f>
        <v>0.71380571428571427</v>
      </c>
      <c r="J97" s="297">
        <f>'Виробничий план'!J48</f>
        <v>0.66432000000000002</v>
      </c>
      <c r="K97" s="297">
        <f>'Виробничий план'!K48</f>
        <v>0.64079999999999993</v>
      </c>
      <c r="L97" s="297">
        <f>'Виробничий план'!L48</f>
        <v>0.49371428571428577</v>
      </c>
      <c r="M97" s="297">
        <f>'Виробничий план'!M48</f>
        <v>0.41599999999999998</v>
      </c>
      <c r="N97" s="298">
        <f>SUM(B97:M97)</f>
        <v>6.8676457142857146</v>
      </c>
    </row>
    <row r="98" spans="1:14" x14ac:dyDescent="0.25">
      <c r="A98" s="145" t="s">
        <v>291</v>
      </c>
      <c r="B98" s="304">
        <f>B97*Довідник!$B$108</f>
        <v>119.60319999999999</v>
      </c>
      <c r="C98" s="304">
        <f>C97*Довідник!$B$108</f>
        <v>148.43904000000001</v>
      </c>
      <c r="D98" s="304">
        <f>D97*Довідник!$B$108</f>
        <v>198.06617599999998</v>
      </c>
      <c r="E98" s="304">
        <f>E97*Довідник!$B$108</f>
        <v>207.72863999999998</v>
      </c>
      <c r="F98" s="304">
        <f>F97*Довідник!$B$108</f>
        <v>239.33747200000002</v>
      </c>
      <c r="G98" s="304">
        <f>G97*Довідник!$B$108</f>
        <v>242.73715199999998</v>
      </c>
      <c r="H98" s="304">
        <f>H97*Довідник!$B$108</f>
        <v>255.82796799999997</v>
      </c>
      <c r="I98" s="304">
        <f>I97*Довідник!$B$108</f>
        <v>255.82796799999997</v>
      </c>
      <c r="J98" s="304">
        <f>J97*Довідник!$B$108</f>
        <v>238.092288</v>
      </c>
      <c r="K98" s="304">
        <f>K97*Довідник!$B$108</f>
        <v>229.66271999999995</v>
      </c>
      <c r="L98" s="304">
        <f>L97*Довідник!$B$108</f>
        <v>176.94720000000001</v>
      </c>
      <c r="M98" s="304">
        <f>M97*Довідник!$B$108</f>
        <v>149.09439999999998</v>
      </c>
      <c r="N98" s="305">
        <f t="shared" ref="N98:N101" si="20">SUM(B98:M98)</f>
        <v>2461.3642239999999</v>
      </c>
    </row>
    <row r="99" spans="1:14" x14ac:dyDescent="0.25">
      <c r="A99" s="145" t="s">
        <v>94</v>
      </c>
      <c r="B99" s="304">
        <f>B97*Довідник!$C$108</f>
        <v>56.731428571428566</v>
      </c>
      <c r="C99" s="304">
        <f>C97*Довідник!$C$108</f>
        <v>70.409142857142854</v>
      </c>
      <c r="D99" s="304">
        <f>D97*Довідник!$C$108</f>
        <v>93.948800000000006</v>
      </c>
      <c r="E99" s="304">
        <f>E97*Довідник!$C$108</f>
        <v>98.531999999999996</v>
      </c>
      <c r="F99" s="304">
        <f>F97*Довідник!$C$108</f>
        <v>113.52502857142858</v>
      </c>
      <c r="G99" s="304">
        <f>G97*Довідник!$C$108</f>
        <v>115.13759999999999</v>
      </c>
      <c r="H99" s="304">
        <f>H97*Довідник!$C$108</f>
        <v>121.34697142857142</v>
      </c>
      <c r="I99" s="304">
        <f>I97*Довідник!$C$108</f>
        <v>121.34697142857142</v>
      </c>
      <c r="J99" s="304">
        <f>J97*Довідник!$C$108</f>
        <v>112.93440000000001</v>
      </c>
      <c r="K99" s="304">
        <f>K97*Довідник!$C$108</f>
        <v>108.93599999999999</v>
      </c>
      <c r="L99" s="304">
        <f>L97*Довідник!$C$108</f>
        <v>83.931428571428583</v>
      </c>
      <c r="M99" s="304">
        <f>M97*Довідник!$C$108</f>
        <v>70.72</v>
      </c>
      <c r="N99" s="305">
        <f t="shared" si="20"/>
        <v>1167.4997714285716</v>
      </c>
    </row>
    <row r="100" spans="1:14" x14ac:dyDescent="0.25">
      <c r="A100" s="145" t="s">
        <v>95</v>
      </c>
      <c r="B100" s="304">
        <f>B97*Довідник!$D$108</f>
        <v>13.014857142857142</v>
      </c>
      <c r="C100" s="304">
        <f>C97*Довідник!$D$108</f>
        <v>16.152685714285713</v>
      </c>
      <c r="D100" s="304">
        <f>D97*Довідник!$D$108</f>
        <v>21.552960000000002</v>
      </c>
      <c r="E100" s="304">
        <f>E97*Довідник!$D$108</f>
        <v>22.604400000000002</v>
      </c>
      <c r="F100" s="304">
        <f>F97*Довідник!$D$108</f>
        <v>26.043977142857145</v>
      </c>
      <c r="G100" s="304">
        <f>G97*Довідник!$D$108</f>
        <v>26.413920000000001</v>
      </c>
      <c r="H100" s="304">
        <f>H97*Довідник!$D$108</f>
        <v>27.838422857142856</v>
      </c>
      <c r="I100" s="304">
        <f>I97*Довідник!$D$108</f>
        <v>27.838422857142856</v>
      </c>
      <c r="J100" s="304">
        <f>J97*Довідник!$D$108</f>
        <v>25.908480000000001</v>
      </c>
      <c r="K100" s="304">
        <f>K97*Довідник!$D$108</f>
        <v>24.991199999999996</v>
      </c>
      <c r="L100" s="304">
        <f>L97*Довідник!$D$108</f>
        <v>19.254857142857144</v>
      </c>
      <c r="M100" s="304">
        <f>M97*Довідник!$D$108</f>
        <v>16.224</v>
      </c>
      <c r="N100" s="305">
        <f t="shared" si="20"/>
        <v>267.83818285714284</v>
      </c>
    </row>
    <row r="101" spans="1:14" ht="13.8" thickBot="1" x14ac:dyDescent="0.3">
      <c r="A101" s="145" t="s">
        <v>99</v>
      </c>
      <c r="B101" s="304">
        <f>B97*Довідник!$E$108</f>
        <v>0.54729142857142854</v>
      </c>
      <c r="C101" s="304">
        <f>C97*Довідник!$E$108</f>
        <v>0.67924114285714288</v>
      </c>
      <c r="D101" s="304">
        <f>D97*Довідник!$E$108</f>
        <v>0.90632959999999996</v>
      </c>
      <c r="E101" s="304">
        <f>E97*Довідник!$E$108</f>
        <v>0.95054399999999994</v>
      </c>
      <c r="F101" s="304">
        <f>F97*Довідник!$E$108</f>
        <v>1.0951826285714286</v>
      </c>
      <c r="G101" s="304">
        <f>G97*Довідник!$E$108</f>
        <v>1.1107391999999998</v>
      </c>
      <c r="H101" s="304">
        <f>H97*Довідник!$E$108</f>
        <v>1.1706413714285713</v>
      </c>
      <c r="I101" s="304">
        <f>I97*Довідник!$E$108</f>
        <v>1.1706413714285713</v>
      </c>
      <c r="J101" s="304">
        <f>J97*Довідник!$E$108</f>
        <v>1.0894847999999999</v>
      </c>
      <c r="K101" s="304">
        <f>K97*Довідник!$E$108</f>
        <v>1.0509119999999998</v>
      </c>
      <c r="L101" s="304">
        <f>L97*Довідник!$E$108</f>
        <v>0.80969142857142862</v>
      </c>
      <c r="M101" s="304">
        <f>M97*Довідник!$E$108</f>
        <v>0.68223999999999996</v>
      </c>
      <c r="N101" s="305">
        <f t="shared" si="20"/>
        <v>11.26293897142857</v>
      </c>
    </row>
    <row r="102" spans="1:14" x14ac:dyDescent="0.25">
      <c r="A102" s="296" t="str">
        <f>A24</f>
        <v>Сир м'який</v>
      </c>
      <c r="B102" s="297">
        <f>'Виробничий план'!B50</f>
        <v>1.1679999999999999</v>
      </c>
      <c r="C102" s="297">
        <f>'Виробничий план'!C50</f>
        <v>1.4496</v>
      </c>
      <c r="D102" s="297">
        <f>'Виробничий план'!D50</f>
        <v>1.9342400000000002</v>
      </c>
      <c r="E102" s="297">
        <f>'Виробничий план'!E50</f>
        <v>2.0286000000000004</v>
      </c>
      <c r="F102" s="297">
        <f>'Виробничий план'!F50</f>
        <v>2.3372800000000002</v>
      </c>
      <c r="G102" s="297">
        <f>'Виробничий план'!G50</f>
        <v>2.3704800000000001</v>
      </c>
      <c r="H102" s="297">
        <f>'Виробничий план'!H50</f>
        <v>2.4983200000000001</v>
      </c>
      <c r="I102" s="297">
        <f>'Виробничий план'!I50</f>
        <v>2.4983200000000001</v>
      </c>
      <c r="J102" s="297">
        <f>'Виробничий план'!J50</f>
        <v>2.3251200000000001</v>
      </c>
      <c r="K102" s="297">
        <f>'Виробничий план'!K50</f>
        <v>2.2428000000000003</v>
      </c>
      <c r="L102" s="297">
        <f>'Виробничий план'!L50</f>
        <v>1.7280000000000004</v>
      </c>
      <c r="M102" s="297">
        <f>'Виробничий план'!M50</f>
        <v>1.4559999999999997</v>
      </c>
      <c r="N102" s="298">
        <f t="shared" ref="N102:N111" si="21">SUM(B102:M102)</f>
        <v>24.036760000000001</v>
      </c>
    </row>
    <row r="103" spans="1:14" x14ac:dyDescent="0.25">
      <c r="A103" s="145" t="s">
        <v>291</v>
      </c>
      <c r="B103" s="304">
        <f>B102*Довідник!$B$109</f>
        <v>837.10559999999998</v>
      </c>
      <c r="C103" s="304">
        <f>C102*Довідник!$B$109</f>
        <v>1038.92832</v>
      </c>
      <c r="D103" s="304">
        <f>D102*Довідник!$B$109</f>
        <v>1386.2698080000002</v>
      </c>
      <c r="E103" s="304">
        <f>E102*Довідник!$B$109</f>
        <v>1453.8976200000004</v>
      </c>
      <c r="F103" s="304">
        <f>F102*Довідник!$B$109</f>
        <v>1675.1285760000003</v>
      </c>
      <c r="G103" s="304">
        <f>G102*Довідник!$B$109</f>
        <v>1698.9230160000002</v>
      </c>
      <c r="H103" s="304">
        <f>H102*Довідник!$B$109</f>
        <v>1790.5459440000002</v>
      </c>
      <c r="I103" s="304">
        <f>I102*Довідник!$B$109</f>
        <v>1790.5459440000002</v>
      </c>
      <c r="J103" s="304">
        <f>J102*Довідник!$B$109</f>
        <v>1666.4135040000001</v>
      </c>
      <c r="K103" s="304">
        <f>K102*Довідник!$B$109</f>
        <v>1607.4147600000003</v>
      </c>
      <c r="L103" s="304">
        <f>L102*Довідник!$B$109</f>
        <v>1238.4576000000004</v>
      </c>
      <c r="M103" s="304">
        <f>M102*Довідник!$B$109</f>
        <v>1043.5151999999998</v>
      </c>
      <c r="N103" s="306">
        <f t="shared" si="21"/>
        <v>17227.145892</v>
      </c>
    </row>
    <row r="104" spans="1:14" x14ac:dyDescent="0.25">
      <c r="A104" s="145" t="s">
        <v>94</v>
      </c>
      <c r="B104" s="304">
        <f>B102*Довідник!$C$109</f>
        <v>210.23999999999998</v>
      </c>
      <c r="C104" s="304">
        <f>C102*Довідник!$C$109</f>
        <v>260.928</v>
      </c>
      <c r="D104" s="304">
        <f>D102*Довідник!$C$109</f>
        <v>348.16320000000002</v>
      </c>
      <c r="E104" s="304">
        <f>E102*Довідник!$C$109</f>
        <v>365.14800000000008</v>
      </c>
      <c r="F104" s="304">
        <f>F102*Довідник!$C$109</f>
        <v>420.71040000000005</v>
      </c>
      <c r="G104" s="304">
        <f>G102*Довідник!$C$109</f>
        <v>426.68640000000005</v>
      </c>
      <c r="H104" s="304">
        <f>H102*Довідник!$C$109</f>
        <v>449.69760000000002</v>
      </c>
      <c r="I104" s="304">
        <f>I102*Довідник!$C$109</f>
        <v>449.69760000000002</v>
      </c>
      <c r="J104" s="304">
        <f>J102*Довідник!$C$109</f>
        <v>418.52160000000003</v>
      </c>
      <c r="K104" s="304">
        <f>K102*Довідник!$C$109</f>
        <v>403.70400000000006</v>
      </c>
      <c r="L104" s="304">
        <f>L102*Довідник!$C$109</f>
        <v>311.04000000000008</v>
      </c>
      <c r="M104" s="304">
        <f>M102*Довідник!$C$109</f>
        <v>262.07999999999993</v>
      </c>
      <c r="N104" s="306">
        <f t="shared" si="21"/>
        <v>4326.6167999999998</v>
      </c>
    </row>
    <row r="105" spans="1:14" x14ac:dyDescent="0.25">
      <c r="A105" s="145" t="s">
        <v>95</v>
      </c>
      <c r="B105" s="304">
        <f>B102*Довідник!$D$109</f>
        <v>70.08</v>
      </c>
      <c r="C105" s="304">
        <f>C102*Довідник!$D$109</f>
        <v>86.975999999999999</v>
      </c>
      <c r="D105" s="304">
        <f>D102*Довідник!$D$109</f>
        <v>116.05440000000002</v>
      </c>
      <c r="E105" s="304">
        <f>E102*Довідник!$D$109</f>
        <v>121.71600000000002</v>
      </c>
      <c r="F105" s="304">
        <f>F102*Довідник!$D$109</f>
        <v>140.23680000000002</v>
      </c>
      <c r="G105" s="304">
        <f>G102*Довідник!$D$109</f>
        <v>142.22880000000001</v>
      </c>
      <c r="H105" s="304">
        <f>H102*Довідник!$D$109</f>
        <v>149.89920000000001</v>
      </c>
      <c r="I105" s="304">
        <f>I102*Довідник!$D$109</f>
        <v>149.89920000000001</v>
      </c>
      <c r="J105" s="304">
        <f>J102*Довідник!$D$109</f>
        <v>139.50720000000001</v>
      </c>
      <c r="K105" s="304">
        <f>K102*Довідник!$D$109</f>
        <v>134.56800000000001</v>
      </c>
      <c r="L105" s="304">
        <f>L102*Довідник!$D$109</f>
        <v>103.68000000000002</v>
      </c>
      <c r="M105" s="304">
        <f>M102*Довідник!$D$109</f>
        <v>87.359999999999985</v>
      </c>
      <c r="N105" s="306">
        <f t="shared" si="21"/>
        <v>1442.2056</v>
      </c>
    </row>
    <row r="106" spans="1:14" ht="13.8" thickBot="1" x14ac:dyDescent="0.3">
      <c r="A106" s="145" t="s">
        <v>99</v>
      </c>
      <c r="B106" s="304">
        <f>B102*Довідник!$E$109</f>
        <v>10.511999999999999</v>
      </c>
      <c r="C106" s="304">
        <f>C102*Довідник!$E$109</f>
        <v>13.0464</v>
      </c>
      <c r="D106" s="304">
        <f>D102*Довідник!$E$109</f>
        <v>17.408160000000002</v>
      </c>
      <c r="E106" s="304">
        <f>E102*Довідник!$E$109</f>
        <v>18.257400000000004</v>
      </c>
      <c r="F106" s="304">
        <f>F102*Довідник!$E$109</f>
        <v>21.035520000000002</v>
      </c>
      <c r="G106" s="304">
        <f>G102*Довідник!$E$109</f>
        <v>21.334320000000002</v>
      </c>
      <c r="H106" s="304">
        <f>H102*Довідник!$E$109</f>
        <v>22.48488</v>
      </c>
      <c r="I106" s="304">
        <f>I102*Довідник!$E$109</f>
        <v>22.48488</v>
      </c>
      <c r="J106" s="304">
        <f>J102*Довідник!$E$109</f>
        <v>20.926079999999999</v>
      </c>
      <c r="K106" s="304">
        <f>K102*Довідник!$E$109</f>
        <v>20.185200000000002</v>
      </c>
      <c r="L106" s="304">
        <f>L102*Довідник!$E$109</f>
        <v>15.552000000000003</v>
      </c>
      <c r="M106" s="304">
        <f>M102*Довідник!$E$109</f>
        <v>13.103999999999997</v>
      </c>
      <c r="N106" s="306">
        <f t="shared" si="21"/>
        <v>216.33083999999999</v>
      </c>
    </row>
    <row r="107" spans="1:14" x14ac:dyDescent="0.25">
      <c r="A107" s="296" t="str">
        <f>A29</f>
        <v>Сир Рікотта</v>
      </c>
      <c r="B107" s="297">
        <f>'Виробничий план'!B52</f>
        <v>0.35819206657420261</v>
      </c>
      <c r="C107" s="297">
        <f>'Виробничий план'!C52</f>
        <v>0.44455070180305134</v>
      </c>
      <c r="D107" s="297">
        <f>'Виробничий план'!D52</f>
        <v>0.59317587572815544</v>
      </c>
      <c r="E107" s="297">
        <f>'Виробничий план'!E52</f>
        <v>0.62211337864077665</v>
      </c>
      <c r="F107" s="297">
        <f>'Виробничий план'!F52</f>
        <v>0.71677667239944531</v>
      </c>
      <c r="G107" s="297">
        <f>'Виробничий план'!G52</f>
        <v>0.72695815922330087</v>
      </c>
      <c r="H107" s="297">
        <f>'Виробничий план'!H52</f>
        <v>0.76616301692094335</v>
      </c>
      <c r="I107" s="297">
        <f>'Виробничий план'!I52</f>
        <v>0.76616301692094335</v>
      </c>
      <c r="J107" s="297">
        <f>'Виробничий план'!J52</f>
        <v>0.71304754951456295</v>
      </c>
      <c r="K107" s="297">
        <f>'Виробничий план'!K52</f>
        <v>0.68780236893203917</v>
      </c>
      <c r="L107" s="297">
        <f>'Виробничий план'!L52</f>
        <v>0.52992798890429949</v>
      </c>
      <c r="M107" s="297">
        <f>'Виробничий план'!M52</f>
        <v>0.44651339805825235</v>
      </c>
      <c r="N107" s="298">
        <f t="shared" si="21"/>
        <v>7.3713841936199733</v>
      </c>
    </row>
    <row r="108" spans="1:14" x14ac:dyDescent="0.25">
      <c r="A108" s="145" t="s">
        <v>291</v>
      </c>
      <c r="B108" s="304">
        <f>B107*Довідник!$B$112</f>
        <v>256.716254113731</v>
      </c>
      <c r="C108" s="304">
        <f>C107*Довідник!$B$112</f>
        <v>318.60948798224689</v>
      </c>
      <c r="D108" s="304">
        <f>D107*Довідник!$B$112</f>
        <v>425.12915013436901</v>
      </c>
      <c r="E108" s="304">
        <f>E107*Довідник!$B$112</f>
        <v>445.86865847184464</v>
      </c>
      <c r="F108" s="304">
        <f>F107*Довідник!$B$112</f>
        <v>513.71384110868246</v>
      </c>
      <c r="G108" s="304">
        <f>G107*Довідник!$B$112</f>
        <v>521.01091271533971</v>
      </c>
      <c r="H108" s="304">
        <f>H107*Довідник!$B$112</f>
        <v>549.10903422724016</v>
      </c>
      <c r="I108" s="304">
        <f>I107*Довідник!$B$112</f>
        <v>549.10903422724016</v>
      </c>
      <c r="J108" s="304">
        <f>J107*Довідник!$B$112</f>
        <v>511.04117873708731</v>
      </c>
      <c r="K108" s="304">
        <f>K107*Довідник!$B$112</f>
        <v>492.9479578135925</v>
      </c>
      <c r="L108" s="304">
        <f>L107*Довідник!$B$112</f>
        <v>379.79938964771145</v>
      </c>
      <c r="M108" s="304">
        <f>M107*Довідник!$B$112</f>
        <v>320.0161523883495</v>
      </c>
      <c r="N108" s="306">
        <f t="shared" si="21"/>
        <v>5283.0710515674355</v>
      </c>
    </row>
    <row r="109" spans="1:14" x14ac:dyDescent="0.25">
      <c r="A109" s="145" t="s">
        <v>94</v>
      </c>
      <c r="B109" s="304">
        <f>B107*Довідник!$C$112</f>
        <v>64.474571983356469</v>
      </c>
      <c r="C109" s="304">
        <f>C107*Довідник!$C$112</f>
        <v>80.019126324549248</v>
      </c>
      <c r="D109" s="304">
        <f>D107*Довідник!$C$112</f>
        <v>106.77165763106798</v>
      </c>
      <c r="E109" s="304">
        <f>E107*Довідник!$C$112</f>
        <v>111.9804081553398</v>
      </c>
      <c r="F109" s="304">
        <f>F107*Довідник!$C$112</f>
        <v>129.01980103190016</v>
      </c>
      <c r="G109" s="304">
        <f>G107*Довідник!$C$112</f>
        <v>130.85246866019415</v>
      </c>
      <c r="H109" s="304">
        <f>H107*Довідник!$C$112</f>
        <v>137.90934304576982</v>
      </c>
      <c r="I109" s="304">
        <f>I107*Довідник!$C$112</f>
        <v>137.90934304576982</v>
      </c>
      <c r="J109" s="304">
        <f>J107*Довідник!$C$112</f>
        <v>128.34855891262134</v>
      </c>
      <c r="K109" s="304">
        <f>K107*Довідник!$C$112</f>
        <v>123.80442640776705</v>
      </c>
      <c r="L109" s="304">
        <f>L107*Довідник!$C$112</f>
        <v>95.387038002773906</v>
      </c>
      <c r="M109" s="304">
        <f>M107*Довідник!$C$112</f>
        <v>80.372411650485418</v>
      </c>
      <c r="N109" s="306">
        <f t="shared" si="21"/>
        <v>1326.8491548515949</v>
      </c>
    </row>
    <row r="110" spans="1:14" x14ac:dyDescent="0.25">
      <c r="A110" s="145" t="s">
        <v>95</v>
      </c>
      <c r="B110" s="304">
        <f>B107*Довідник!$D$112</f>
        <v>3.5819206657420262</v>
      </c>
      <c r="C110" s="304">
        <f>C107*Довідник!$D$112</f>
        <v>4.4455070180305132</v>
      </c>
      <c r="D110" s="304">
        <f>D107*Довідник!$D$112</f>
        <v>5.9317587572815542</v>
      </c>
      <c r="E110" s="304">
        <f>E107*Довідник!$D$112</f>
        <v>6.2211337864077665</v>
      </c>
      <c r="F110" s="304">
        <f>F107*Довідник!$D$112</f>
        <v>7.1677667239944531</v>
      </c>
      <c r="G110" s="304">
        <f>G107*Довідник!$D$112</f>
        <v>7.2695815922330089</v>
      </c>
      <c r="H110" s="304">
        <f>H107*Довідник!$D$112</f>
        <v>7.6616301692094337</v>
      </c>
      <c r="I110" s="304">
        <f>I107*Довідник!$D$112</f>
        <v>7.6616301692094337</v>
      </c>
      <c r="J110" s="304">
        <f>J107*Довідник!$D$112</f>
        <v>7.1304754951456299</v>
      </c>
      <c r="K110" s="304">
        <f>K107*Довідник!$D$112</f>
        <v>6.8780236893203917</v>
      </c>
      <c r="L110" s="304">
        <f>L107*Довідник!$D$112</f>
        <v>5.2992798890429951</v>
      </c>
      <c r="M110" s="304">
        <f>M107*Довідник!$D$112</f>
        <v>4.4651339805825234</v>
      </c>
      <c r="N110" s="306">
        <f t="shared" si="21"/>
        <v>73.713841936199728</v>
      </c>
    </row>
    <row r="111" spans="1:14" ht="13.8" thickBot="1" x14ac:dyDescent="0.3">
      <c r="A111" s="307" t="s">
        <v>99</v>
      </c>
      <c r="B111" s="308">
        <f>B107*Довідник!$E$112</f>
        <v>1.7909603328710131</v>
      </c>
      <c r="C111" s="308">
        <f>C107*Довідник!$E$112</f>
        <v>2.2227535090152566</v>
      </c>
      <c r="D111" s="308">
        <f>D107*Довідник!$E$112</f>
        <v>2.9658793786407771</v>
      </c>
      <c r="E111" s="308">
        <f>E107*Довідник!$E$112</f>
        <v>3.1105668932038832</v>
      </c>
      <c r="F111" s="308">
        <f>F107*Довідник!$E$112</f>
        <v>3.5838833619972266</v>
      </c>
      <c r="G111" s="308">
        <f>G107*Довідник!$E$112</f>
        <v>3.6347907961165045</v>
      </c>
      <c r="H111" s="308">
        <f>H107*Довідник!$E$112</f>
        <v>3.8308150846047169</v>
      </c>
      <c r="I111" s="308">
        <f>I107*Довідник!$E$112</f>
        <v>3.8308150846047169</v>
      </c>
      <c r="J111" s="308">
        <f>J107*Довідник!$E$112</f>
        <v>3.565237747572815</v>
      </c>
      <c r="K111" s="308">
        <f>K107*Довідник!$E$112</f>
        <v>3.4390118446601958</v>
      </c>
      <c r="L111" s="308">
        <f>L107*Довідник!$E$112</f>
        <v>2.6496399445214975</v>
      </c>
      <c r="M111" s="308">
        <f>M107*Довідник!$E$112</f>
        <v>2.2325669902912617</v>
      </c>
      <c r="N111" s="309">
        <f t="shared" si="21"/>
        <v>36.856920968099864</v>
      </c>
    </row>
    <row r="112" spans="1:14" ht="24.6" thickBot="1" x14ac:dyDescent="0.3">
      <c r="A112" s="273" t="s">
        <v>292</v>
      </c>
      <c r="B112" s="274">
        <f>B83+B88+B93+B98+B103+B108</f>
        <v>3474.562680003698</v>
      </c>
      <c r="C112" s="274">
        <f t="shared" ref="C112:N112" si="22">C83+C88+C93+C98+C103+C108</f>
        <v>4312.2654631278774</v>
      </c>
      <c r="D112" s="274">
        <f t="shared" si="22"/>
        <v>5753.9709915842077</v>
      </c>
      <c r="E112" s="274">
        <f t="shared" si="22"/>
        <v>6034.6728190543699</v>
      </c>
      <c r="F112" s="274">
        <f t="shared" si="22"/>
        <v>6952.9330999306903</v>
      </c>
      <c r="G112" s="274">
        <f t="shared" si="22"/>
        <v>7051.6963541910691</v>
      </c>
      <c r="H112" s="274">
        <f t="shared" si="22"/>
        <v>7431.9943790298285</v>
      </c>
      <c r="I112" s="274">
        <f t="shared" si="22"/>
        <v>7431.9943790298285</v>
      </c>
      <c r="J112" s="274">
        <f t="shared" si="22"/>
        <v>6916.7595706594175</v>
      </c>
      <c r="K112" s="274">
        <f t="shared" si="22"/>
        <v>6671.8742968427196</v>
      </c>
      <c r="L112" s="274">
        <f t="shared" si="22"/>
        <v>5140.4488964438297</v>
      </c>
      <c r="M112" s="274">
        <f t="shared" si="22"/>
        <v>4331.3041627443363</v>
      </c>
      <c r="N112" s="275">
        <f t="shared" si="22"/>
        <v>71504.477092641857</v>
      </c>
    </row>
    <row r="113" spans="1:14" ht="24.6" thickBot="1" x14ac:dyDescent="0.3">
      <c r="A113" s="273" t="s">
        <v>293</v>
      </c>
      <c r="B113" s="274">
        <f t="shared" ref="B113:N113" si="23">B84+B89+B94+B99+B104+B109</f>
        <v>744.00325621821537</v>
      </c>
      <c r="C113" s="274">
        <f t="shared" si="23"/>
        <v>923.37938374479893</v>
      </c>
      <c r="D113" s="274">
        <f t="shared" si="23"/>
        <v>1232.0897759482202</v>
      </c>
      <c r="E113" s="274">
        <f t="shared" si="23"/>
        <v>1292.1960664077671</v>
      </c>
      <c r="F113" s="274">
        <f t="shared" si="23"/>
        <v>1488.8218584706428</v>
      </c>
      <c r="G113" s="274">
        <f t="shared" si="23"/>
        <v>1509.9698962330096</v>
      </c>
      <c r="H113" s="274">
        <f t="shared" si="23"/>
        <v>1591.4025813999076</v>
      </c>
      <c r="I113" s="274">
        <f t="shared" si="23"/>
        <v>1591.4025813999076</v>
      </c>
      <c r="J113" s="274">
        <f t="shared" si="23"/>
        <v>1481.076071145631</v>
      </c>
      <c r="K113" s="274">
        <f t="shared" si="23"/>
        <v>1428.6391293203885</v>
      </c>
      <c r="L113" s="274">
        <f t="shared" si="23"/>
        <v>1100.7171461858532</v>
      </c>
      <c r="M113" s="274">
        <f t="shared" si="23"/>
        <v>927.45611391585749</v>
      </c>
      <c r="N113" s="275">
        <f t="shared" si="23"/>
        <v>15311.153860390197</v>
      </c>
    </row>
    <row r="114" spans="1:14" ht="24.6" thickBot="1" x14ac:dyDescent="0.3">
      <c r="A114" s="273" t="s">
        <v>294</v>
      </c>
      <c r="B114" s="274">
        <f t="shared" ref="B114:N114" si="24">B85+B90+B95+B100+B105+B110</f>
        <v>165.75680369856678</v>
      </c>
      <c r="C114" s="274">
        <f t="shared" si="24"/>
        <v>205.72008787794729</v>
      </c>
      <c r="D114" s="274">
        <f t="shared" si="24"/>
        <v>274.49780820711982</v>
      </c>
      <c r="E114" s="274">
        <f t="shared" si="24"/>
        <v>287.88891436893209</v>
      </c>
      <c r="F114" s="274">
        <f t="shared" si="24"/>
        <v>331.69525868885813</v>
      </c>
      <c r="G114" s="274">
        <f t="shared" si="24"/>
        <v>336.40683906796119</v>
      </c>
      <c r="H114" s="274">
        <f t="shared" si="24"/>
        <v>354.54926182894127</v>
      </c>
      <c r="I114" s="274">
        <f t="shared" si="24"/>
        <v>354.54926182894127</v>
      </c>
      <c r="J114" s="274">
        <f t="shared" si="24"/>
        <v>329.96957141747572</v>
      </c>
      <c r="K114" s="274">
        <f t="shared" si="24"/>
        <v>318.2871227184466</v>
      </c>
      <c r="L114" s="274">
        <f t="shared" si="24"/>
        <v>245.22924382801668</v>
      </c>
      <c r="M114" s="274">
        <f t="shared" si="24"/>
        <v>206.62834433656954</v>
      </c>
      <c r="N114" s="275">
        <f t="shared" si="24"/>
        <v>3411.178517867776</v>
      </c>
    </row>
    <row r="115" spans="1:14" ht="24.6" thickBot="1" x14ac:dyDescent="0.3">
      <c r="A115" s="273" t="s">
        <v>295</v>
      </c>
      <c r="B115" s="274">
        <f t="shared" ref="B115:N115" si="25">B86+B91+B96+B101+B106+B111</f>
        <v>19.059627036523345</v>
      </c>
      <c r="C115" s="274">
        <f t="shared" si="25"/>
        <v>23.65482478779473</v>
      </c>
      <c r="D115" s="274">
        <f t="shared" si="25"/>
        <v>31.563264554045311</v>
      </c>
      <c r="E115" s="274">
        <f t="shared" si="25"/>
        <v>33.103047436893206</v>
      </c>
      <c r="F115" s="274">
        <f t="shared" si="25"/>
        <v>38.140141335552471</v>
      </c>
      <c r="G115" s="274">
        <f t="shared" si="25"/>
        <v>38.681904706796118</v>
      </c>
      <c r="H115" s="274">
        <f t="shared" si="25"/>
        <v>40.768020049560796</v>
      </c>
      <c r="I115" s="274">
        <f t="shared" si="25"/>
        <v>40.768020049560796</v>
      </c>
      <c r="J115" s="274">
        <f t="shared" si="25"/>
        <v>37.941712341747575</v>
      </c>
      <c r="K115" s="274">
        <f t="shared" si="25"/>
        <v>36.59840027184466</v>
      </c>
      <c r="L115" s="274">
        <f t="shared" si="25"/>
        <v>28.197804382801667</v>
      </c>
      <c r="M115" s="274">
        <f t="shared" si="25"/>
        <v>23.75926110032362</v>
      </c>
      <c r="N115" s="275">
        <f t="shared" si="25"/>
        <v>392.23602805344433</v>
      </c>
    </row>
  </sheetData>
  <sheetProtection algorithmName="SHA-512" hashValue="RpawD+N7z6xzNdUlg4v8i6jd9hDYuvoAo+6HdPKSn+ER0ntSY2F7NgHAqXHBLXL2SymERuFY4h7nLZ8A+6qIDA==" saltValue="6TBAat1MksHIYLXODu+2tQ==" spinCount="100000" sheet="1" objects="1" scenarios="1"/>
  <mergeCells count="15">
    <mergeCell ref="Q7:V15"/>
    <mergeCell ref="A80:A81"/>
    <mergeCell ref="B80:M80"/>
    <mergeCell ref="N80:N81"/>
    <mergeCell ref="A40:N40"/>
    <mergeCell ref="A41:A42"/>
    <mergeCell ref="B41:M41"/>
    <mergeCell ref="N41:N42"/>
    <mergeCell ref="A79:N79"/>
    <mergeCell ref="Q2:R2"/>
    <mergeCell ref="Q3:V5"/>
    <mergeCell ref="A2:A3"/>
    <mergeCell ref="A1:N1"/>
    <mergeCell ref="B2:M2"/>
    <mergeCell ref="N2:N3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541B4-5EC6-4787-963F-06F003D91A78}">
  <sheetPr>
    <tabColor rgb="FF00B0F0"/>
  </sheetPr>
  <dimension ref="A1:V118"/>
  <sheetViews>
    <sheetView workbookViewId="0">
      <selection activeCell="Q17" sqref="Q17"/>
    </sheetView>
  </sheetViews>
  <sheetFormatPr defaultColWidth="9.109375" defaultRowHeight="13.2" x14ac:dyDescent="0.25"/>
  <cols>
    <col min="1" max="1" width="20.44140625" style="265" customWidth="1"/>
    <col min="2" max="16384" width="9.109375" style="265"/>
  </cols>
  <sheetData>
    <row r="1" spans="1:22" ht="14.4" customHeight="1" thickBot="1" x14ac:dyDescent="0.3">
      <c r="A1" s="486" t="s">
        <v>296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</row>
    <row r="2" spans="1:22" ht="13.2" customHeight="1" x14ac:dyDescent="0.3">
      <c r="A2" s="487" t="s">
        <v>32</v>
      </c>
      <c r="B2" s="489" t="s">
        <v>33</v>
      </c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1"/>
      <c r="N2" s="492" t="s">
        <v>209</v>
      </c>
      <c r="Q2" s="481" t="s">
        <v>127</v>
      </c>
      <c r="R2" s="481"/>
      <c r="S2" s="426"/>
      <c r="T2" s="426"/>
      <c r="U2" s="426"/>
      <c r="V2" s="426"/>
    </row>
    <row r="3" spans="1:22" ht="13.95" customHeight="1" thickBot="1" x14ac:dyDescent="0.3">
      <c r="A3" s="502"/>
      <c r="B3" s="294" t="s">
        <v>34</v>
      </c>
      <c r="C3" s="295" t="s">
        <v>35</v>
      </c>
      <c r="D3" s="295" t="s">
        <v>36</v>
      </c>
      <c r="E3" s="295" t="s">
        <v>37</v>
      </c>
      <c r="F3" s="295" t="s">
        <v>38</v>
      </c>
      <c r="G3" s="295" t="s">
        <v>39</v>
      </c>
      <c r="H3" s="295" t="s">
        <v>40</v>
      </c>
      <c r="I3" s="295" t="s">
        <v>41</v>
      </c>
      <c r="J3" s="295" t="s">
        <v>42</v>
      </c>
      <c r="K3" s="295" t="s">
        <v>43</v>
      </c>
      <c r="L3" s="295" t="s">
        <v>44</v>
      </c>
      <c r="M3" s="295" t="s">
        <v>45</v>
      </c>
      <c r="N3" s="503"/>
      <c r="Q3" s="499" t="s">
        <v>297</v>
      </c>
      <c r="R3" s="499"/>
      <c r="S3" s="499"/>
      <c r="T3" s="499"/>
      <c r="U3" s="499"/>
      <c r="V3" s="499"/>
    </row>
    <row r="4" spans="1:22" s="290" customFormat="1" ht="13.2" customHeight="1" x14ac:dyDescent="0.25">
      <c r="A4" s="296" t="str">
        <f>'Енергоресурси НП'!A4</f>
        <v>Молоко питне</v>
      </c>
      <c r="B4" s="297">
        <f>'Виробничий план'!B6</f>
        <v>0.28799999999999998</v>
      </c>
      <c r="C4" s="297">
        <f>'Виробничий план'!C6</f>
        <v>0.36799999999999999</v>
      </c>
      <c r="D4" s="297">
        <f>'Виробничий план'!D6</f>
        <v>0.59487999999999996</v>
      </c>
      <c r="E4" s="297">
        <f>'Виробничий план'!E6</f>
        <v>0.84671999999999992</v>
      </c>
      <c r="F4" s="297">
        <f>'Виробничий план'!F6</f>
        <v>1.2143999999999999</v>
      </c>
      <c r="G4" s="297">
        <f>'Виробничий план'!G6</f>
        <v>1.50528</v>
      </c>
      <c r="H4" s="297">
        <f>'Виробничий план'!H6</f>
        <v>1.85856</v>
      </c>
      <c r="I4" s="297">
        <f>'Виробничий план'!I6</f>
        <v>1.8744000000000001</v>
      </c>
      <c r="J4" s="297">
        <f>'Виробничий план'!J6</f>
        <v>1.9051199999999999</v>
      </c>
      <c r="K4" s="297">
        <f>'Виробничий план'!K6</f>
        <v>1.7337600000000004</v>
      </c>
      <c r="L4" s="297">
        <f>'Виробничий план'!L6</f>
        <v>1.456</v>
      </c>
      <c r="M4" s="297">
        <f>'Виробничий план'!M6</f>
        <v>1.3824000000000001</v>
      </c>
      <c r="N4" s="298">
        <f>SUM(B4:M4)</f>
        <v>15.027520000000001</v>
      </c>
      <c r="Q4" s="499"/>
      <c r="R4" s="499"/>
      <c r="S4" s="499"/>
      <c r="T4" s="499"/>
      <c r="U4" s="499"/>
      <c r="V4" s="499"/>
    </row>
    <row r="5" spans="1:22" ht="13.2" customHeight="1" x14ac:dyDescent="0.25">
      <c r="A5" s="145" t="s">
        <v>298</v>
      </c>
      <c r="B5" s="267">
        <f>'Енергоресурси НП'!B5*Довідник!$B$118</f>
        <v>80.064000000000007</v>
      </c>
      <c r="C5" s="267">
        <f>'Енергоресурси НП'!C5*Довідник!$B$118</f>
        <v>102.30400000000002</v>
      </c>
      <c r="D5" s="267">
        <f>'Енергоресурси НП'!D5*Довідник!$B$118</f>
        <v>165.37664000000001</v>
      </c>
      <c r="E5" s="267">
        <f>'Енергоресурси НП'!E5*Довідник!$B$118</f>
        <v>235.38815999999997</v>
      </c>
      <c r="F5" s="267">
        <f>'Енергоресурси НП'!F5*Довідник!$B$118</f>
        <v>337.60320000000002</v>
      </c>
      <c r="G5" s="267">
        <f>'Енергоресурси НП'!G5*Довідник!$B$118</f>
        <v>418.46784000000002</v>
      </c>
      <c r="H5" s="267">
        <f>'Енергоресурси НП'!H5*Довідник!$B$118</f>
        <v>516.67968000000008</v>
      </c>
      <c r="I5" s="267">
        <f>'Енергоресурси НП'!I5*Довідник!$B$118</f>
        <v>521.08320000000003</v>
      </c>
      <c r="J5" s="267">
        <f>'Енергоресурси НП'!J5*Довідник!$B$118</f>
        <v>529.62336000000005</v>
      </c>
      <c r="K5" s="267">
        <f>'Енергоресурси НП'!K5*Довідник!$B$118</f>
        <v>481.9852800000001</v>
      </c>
      <c r="L5" s="267">
        <f>'Енергоресурси НП'!L5*Довідник!$B$118</f>
        <v>404.76800000000003</v>
      </c>
      <c r="M5" s="267">
        <f>'Енергоресурси НП'!M5*Довідник!$B$118</f>
        <v>384.30720000000002</v>
      </c>
      <c r="N5" s="268">
        <f t="shared" ref="N5:N8" si="0">SUM(B5:M5)</f>
        <v>4177.650560000001</v>
      </c>
      <c r="Q5" s="499"/>
      <c r="R5" s="499"/>
      <c r="S5" s="499"/>
      <c r="T5" s="499"/>
      <c r="U5" s="499"/>
      <c r="V5" s="499"/>
    </row>
    <row r="6" spans="1:22" ht="13.2" customHeight="1" x14ac:dyDescent="0.25">
      <c r="A6" s="145" t="s">
        <v>299</v>
      </c>
      <c r="B6" s="267">
        <f>'Енергоресурси НП'!B6*Довідник!$C$118</f>
        <v>55.295999999999992</v>
      </c>
      <c r="C6" s="267">
        <f>'Енергоресурси НП'!C6*Довідник!$C$118</f>
        <v>70.656000000000006</v>
      </c>
      <c r="D6" s="267">
        <f>'Енергоресурси НП'!D6*Довідник!$C$118</f>
        <v>114.21696</v>
      </c>
      <c r="E6" s="267">
        <f>'Енергоресурси НП'!E6*Довідник!$C$118</f>
        <v>162.57023999999998</v>
      </c>
      <c r="F6" s="267">
        <f>'Енергоресурси НП'!F6*Довідник!$C$118</f>
        <v>233.16479999999999</v>
      </c>
      <c r="G6" s="267">
        <f>'Енергоресурси НП'!G6*Довідник!$C$118</f>
        <v>289.01375999999999</v>
      </c>
      <c r="H6" s="267">
        <f>'Енергоресурси НП'!H6*Довідник!$C$118</f>
        <v>356.84352000000001</v>
      </c>
      <c r="I6" s="267">
        <f>'Енергоресурси НП'!I6*Довідник!$C$118</f>
        <v>359.88480000000004</v>
      </c>
      <c r="J6" s="267">
        <f>'Енергоресурси НП'!J6*Довідник!$C$118</f>
        <v>365.78303999999997</v>
      </c>
      <c r="K6" s="267">
        <f>'Енергоресурси НП'!K6*Довідник!$C$118</f>
        <v>332.88192000000009</v>
      </c>
      <c r="L6" s="267">
        <f>'Енергоресурси НП'!L6*Довідник!$C$118</f>
        <v>279.55200000000002</v>
      </c>
      <c r="M6" s="267">
        <f>'Енергоресурси НП'!M6*Довідник!$C$118</f>
        <v>265.42079999999999</v>
      </c>
      <c r="N6" s="268">
        <f t="shared" si="0"/>
        <v>2885.2838400000005</v>
      </c>
      <c r="Q6" s="498" t="s">
        <v>399</v>
      </c>
      <c r="R6" s="498"/>
      <c r="S6" s="498"/>
      <c r="T6" s="498"/>
      <c r="U6" s="498"/>
      <c r="V6" s="498"/>
    </row>
    <row r="7" spans="1:22" ht="13.2" customHeight="1" x14ac:dyDescent="0.25">
      <c r="A7" s="145" t="s">
        <v>300</v>
      </c>
      <c r="B7" s="267">
        <f>'Енергоресурси НП'!B7*Довідник!$D$118</f>
        <v>25.343999999999998</v>
      </c>
      <c r="C7" s="267">
        <f>'Енергоресурси НП'!C7*Довідник!$D$118</f>
        <v>32.384</v>
      </c>
      <c r="D7" s="267">
        <f>'Енергоресурси НП'!D7*Довідник!$D$118</f>
        <v>52.349439999999994</v>
      </c>
      <c r="E7" s="267">
        <f>'Енергоресурси НП'!E7*Довідник!$D$118</f>
        <v>74.511359999999996</v>
      </c>
      <c r="F7" s="267">
        <f>'Енергоресурси НП'!F7*Довідник!$D$118</f>
        <v>106.8672</v>
      </c>
      <c r="G7" s="267">
        <f>'Енергоресурси НП'!G7*Довідник!$D$118</f>
        <v>132.46464</v>
      </c>
      <c r="H7" s="267">
        <f>'Енергоресурси НП'!H7*Довідник!$D$118</f>
        <v>163.55328</v>
      </c>
      <c r="I7" s="267">
        <f>'Енергоресурси НП'!I7*Довідник!$D$118</f>
        <v>164.94720000000001</v>
      </c>
      <c r="J7" s="267">
        <f>'Енергоресурси НП'!J7*Довідник!$D$118</f>
        <v>167.65055999999998</v>
      </c>
      <c r="K7" s="267">
        <f>'Енергоресурси НП'!K7*Довідник!$D$118</f>
        <v>152.57088000000005</v>
      </c>
      <c r="L7" s="267">
        <f>'Енергоресурси НП'!L7*Довідник!$D$118</f>
        <v>128.12799999999999</v>
      </c>
      <c r="M7" s="267">
        <f>'Енергоресурси НП'!M7*Довідник!$D$118</f>
        <v>121.6512</v>
      </c>
      <c r="N7" s="268">
        <f t="shared" si="0"/>
        <v>1322.4217599999999</v>
      </c>
      <c r="Q7" s="498"/>
      <c r="R7" s="498"/>
      <c r="S7" s="498"/>
      <c r="T7" s="498"/>
      <c r="U7" s="498"/>
      <c r="V7" s="498"/>
    </row>
    <row r="8" spans="1:22" ht="13.8" customHeight="1" thickBot="1" x14ac:dyDescent="0.3">
      <c r="A8" s="145" t="s">
        <v>301</v>
      </c>
      <c r="B8" s="267">
        <f>'Енергоресурси НП'!B8*Довідник!$E$118</f>
        <v>30.324060649819494</v>
      </c>
      <c r="C8" s="267">
        <f>'Енергоресурси НП'!C8*Довідник!$E$118</f>
        <v>38.74741083032491</v>
      </c>
      <c r="D8" s="267">
        <f>'Енергоресурси НП'!D8*Довідник!$E$118</f>
        <v>62.636031942238269</v>
      </c>
      <c r="E8" s="267">
        <f>'Енергоресурси НП'!E8*Довідник!$E$118</f>
        <v>89.152738310469317</v>
      </c>
      <c r="F8" s="267">
        <f>'Енергоресурси НП'!F8*Довідник!$E$118</f>
        <v>127.8664557400722</v>
      </c>
      <c r="G8" s="267">
        <f>'Енергоресурси НП'!G8*Довідник!$E$118</f>
        <v>158.49375699638989</v>
      </c>
      <c r="H8" s="267">
        <f>'Енергоресурси НП'!H8*Довідник!$E$118</f>
        <v>195.69127139350181</v>
      </c>
      <c r="I8" s="267">
        <f>'Енергоресурси НП'!I8*Довідник!$E$118</f>
        <v>197.35909472924189</v>
      </c>
      <c r="J8" s="267">
        <f>'Енергоресурси НП'!J8*Довідник!$E$118</f>
        <v>200.59366119855596</v>
      </c>
      <c r="K8" s="267">
        <f>'Енергоресурси НП'!K8*Довідник!$E$118</f>
        <v>182.55084511191342</v>
      </c>
      <c r="L8" s="267">
        <f>'Енергоресурси НП'!L8*Довідник!$E$118</f>
        <v>153.30497328519857</v>
      </c>
      <c r="M8" s="267">
        <f>'Енергоресурси НП'!M8*Довідник!$E$118</f>
        <v>145.55549111913359</v>
      </c>
      <c r="N8" s="268">
        <f t="shared" si="0"/>
        <v>1582.2757913068592</v>
      </c>
      <c r="Q8" s="498"/>
      <c r="R8" s="498"/>
      <c r="S8" s="498"/>
      <c r="T8" s="498"/>
      <c r="U8" s="498"/>
      <c r="V8" s="498"/>
    </row>
    <row r="9" spans="1:22" s="290" customFormat="1" ht="13.2" customHeight="1" x14ac:dyDescent="0.25">
      <c r="A9" s="296" t="str">
        <f>'Енергоресурси НП'!A9</f>
        <v>Сир кисломолочний</v>
      </c>
      <c r="B9" s="297">
        <f>'Виробничий план'!B8</f>
        <v>9.5999999999999988E-2</v>
      </c>
      <c r="C9" s="297">
        <f>'Виробничий план'!C8</f>
        <v>0.12266666666666666</v>
      </c>
      <c r="D9" s="297">
        <f>'Виробничий план'!D8</f>
        <v>0.19829333333333332</v>
      </c>
      <c r="E9" s="297">
        <f>'Виробничий план'!E8</f>
        <v>0.28223999999999999</v>
      </c>
      <c r="F9" s="297">
        <f>'Виробничий план'!F8</f>
        <v>0.40479999999999999</v>
      </c>
      <c r="G9" s="297">
        <f>'Виробничий план'!G8</f>
        <v>0.50175999999999998</v>
      </c>
      <c r="H9" s="297">
        <f>'Виробничий план'!H8</f>
        <v>0.61951999999999996</v>
      </c>
      <c r="I9" s="297">
        <f>'Виробничий план'!I8</f>
        <v>0.62480000000000002</v>
      </c>
      <c r="J9" s="297">
        <f>'Виробничий план'!J8</f>
        <v>0.63503999999999994</v>
      </c>
      <c r="K9" s="297">
        <f>'Виробничий план'!K8</f>
        <v>0.5779200000000001</v>
      </c>
      <c r="L9" s="297">
        <f>'Виробничий план'!L8</f>
        <v>0.48533333333333334</v>
      </c>
      <c r="M9" s="297">
        <f>'Виробничий план'!M8</f>
        <v>0.46080000000000004</v>
      </c>
      <c r="N9" s="298">
        <f>SUM(B9:M9)</f>
        <v>5.009173333333333</v>
      </c>
      <c r="Q9" s="498"/>
      <c r="R9" s="498"/>
      <c r="S9" s="498"/>
      <c r="T9" s="498"/>
      <c r="U9" s="498"/>
      <c r="V9" s="498"/>
    </row>
    <row r="10" spans="1:22" ht="13.2" customHeight="1" x14ac:dyDescent="0.25">
      <c r="A10" s="145" t="s">
        <v>298</v>
      </c>
      <c r="B10" s="267">
        <f>'Енергоресурси НП'!B10*Довідник!$B$118</f>
        <v>60.063999999999993</v>
      </c>
      <c r="C10" s="267">
        <f>'Енергоресурси НП'!C10*Довідник!$B$118</f>
        <v>76.748444444444445</v>
      </c>
      <c r="D10" s="267">
        <f>'Енергоресурси НП'!D10*Довідник!$B$118</f>
        <v>124.06552888888888</v>
      </c>
      <c r="E10" s="267">
        <f>'Енергоресурси НП'!E10*Довідник!$B$118</f>
        <v>176.58815999999999</v>
      </c>
      <c r="F10" s="267">
        <f>'Енергоресурси НП'!F10*Довідник!$B$118</f>
        <v>253.26986666666667</v>
      </c>
      <c r="G10" s="267">
        <f>'Енергоресурси НП'!G10*Довідник!$B$118</f>
        <v>313.93450666666661</v>
      </c>
      <c r="H10" s="267">
        <f>'Енергоресурси НП'!H10*Довідник!$B$118</f>
        <v>387.6130133333333</v>
      </c>
      <c r="I10" s="267">
        <f>'Енергоресурси НП'!I10*Довідник!$B$118</f>
        <v>390.91653333333335</v>
      </c>
      <c r="J10" s="267">
        <f>'Енергоресурси НП'!J10*Довідник!$B$118</f>
        <v>397.32335999999998</v>
      </c>
      <c r="K10" s="267">
        <f>'Енергоресурси НП'!K10*Довідник!$B$118</f>
        <v>361.58528000000007</v>
      </c>
      <c r="L10" s="267">
        <f>'Енергоресурси НП'!L10*Довідник!$B$118</f>
        <v>303.65688888888889</v>
      </c>
      <c r="M10" s="267">
        <f>'Енергоресурси НП'!M10*Довідник!$B$118</f>
        <v>288.30720000000002</v>
      </c>
      <c r="N10" s="268">
        <f t="shared" ref="N10:N13" si="1">SUM(B10:M10)</f>
        <v>3134.0727822222225</v>
      </c>
      <c r="Q10" s="498"/>
      <c r="R10" s="498"/>
      <c r="S10" s="498"/>
      <c r="T10" s="498"/>
      <c r="U10" s="498"/>
      <c r="V10" s="498"/>
    </row>
    <row r="11" spans="1:22" ht="13.2" customHeight="1" x14ac:dyDescent="0.25">
      <c r="A11" s="145" t="s">
        <v>299</v>
      </c>
      <c r="B11" s="267">
        <f>'Енергоресурси НП'!B11*Довідник!$C$118</f>
        <v>73.727999999999994</v>
      </c>
      <c r="C11" s="267">
        <f>'Енергоресурси НП'!C11*Довідник!$C$118</f>
        <v>94.207999999999998</v>
      </c>
      <c r="D11" s="267">
        <f>'Енергоресурси НП'!D11*Довідник!$C$118</f>
        <v>152.28927999999999</v>
      </c>
      <c r="E11" s="267">
        <f>'Енергоресурси НП'!E11*Довідник!$C$118</f>
        <v>216.76031999999998</v>
      </c>
      <c r="F11" s="267">
        <f>'Енергоресурси НП'!F11*Довідник!$C$118</f>
        <v>310.88639999999998</v>
      </c>
      <c r="G11" s="267">
        <f>'Енергоресурси НП'!G11*Довідник!$C$118</f>
        <v>385.35167999999999</v>
      </c>
      <c r="H11" s="267">
        <f>'Енергоресурси НП'!H11*Довідник!$C$118</f>
        <v>475.79135999999994</v>
      </c>
      <c r="I11" s="267">
        <f>'Енергоресурси НП'!I11*Довідник!$C$118</f>
        <v>479.84640000000002</v>
      </c>
      <c r="J11" s="267">
        <f>'Енергоресурси НП'!J11*Довідник!$C$118</f>
        <v>487.71071999999992</v>
      </c>
      <c r="K11" s="267">
        <f>'Енергоресурси НП'!K11*Довідник!$C$118</f>
        <v>443.84256000000005</v>
      </c>
      <c r="L11" s="267">
        <f>'Енергоресурси НП'!L11*Довідник!$C$118</f>
        <v>372.73599999999999</v>
      </c>
      <c r="M11" s="267">
        <f>'Енергоресурси НП'!M11*Довідник!$C$118</f>
        <v>353.89440000000002</v>
      </c>
      <c r="N11" s="268">
        <f t="shared" si="1"/>
        <v>3847.0451200000002</v>
      </c>
      <c r="Q11" s="498"/>
      <c r="R11" s="498"/>
      <c r="S11" s="498"/>
      <c r="T11" s="498"/>
      <c r="U11" s="498"/>
      <c r="V11" s="498"/>
    </row>
    <row r="12" spans="1:22" ht="13.2" customHeight="1" x14ac:dyDescent="0.25">
      <c r="A12" s="145" t="s">
        <v>300</v>
      </c>
      <c r="B12" s="267">
        <f>'Енергоресурси НП'!B12*Довідник!$D$118</f>
        <v>56.831999999999994</v>
      </c>
      <c r="C12" s="267">
        <f>'Енергоресурси НП'!C12*Довідник!$D$118</f>
        <v>72.61866666666667</v>
      </c>
      <c r="D12" s="267">
        <f>'Енергоресурси НП'!D12*Довідник!$D$118</f>
        <v>117.38965333333333</v>
      </c>
      <c r="E12" s="267">
        <f>'Енергоресурси НП'!E12*Довідник!$D$118</f>
        <v>167.08607999999998</v>
      </c>
      <c r="F12" s="267">
        <f>'Енергоресурси НП'!F12*Довідник!$D$118</f>
        <v>239.64159999999998</v>
      </c>
      <c r="G12" s="267">
        <f>'Енергоресурси НП'!G12*Довідник!$D$118</f>
        <v>297.04192</v>
      </c>
      <c r="H12" s="267">
        <f>'Енергоресурси НП'!H12*Довідник!$D$118</f>
        <v>366.75583999999998</v>
      </c>
      <c r="I12" s="267">
        <f>'Енергоресурси НП'!I12*Довідник!$D$118</f>
        <v>369.88159999999999</v>
      </c>
      <c r="J12" s="267">
        <f>'Енергоресурси НП'!J12*Довідник!$D$118</f>
        <v>375.94367999999997</v>
      </c>
      <c r="K12" s="267">
        <f>'Енергоресурси НП'!K12*Довідник!$D$118</f>
        <v>342.12864000000008</v>
      </c>
      <c r="L12" s="267">
        <f>'Енергоресурси НП'!L12*Довідник!$D$118</f>
        <v>287.31733333333335</v>
      </c>
      <c r="M12" s="267">
        <f>'Енергоресурси НП'!M12*Довідник!$D$118</f>
        <v>272.79360000000003</v>
      </c>
      <c r="N12" s="268">
        <f t="shared" si="1"/>
        <v>2965.430613333333</v>
      </c>
      <c r="Q12" s="498"/>
      <c r="R12" s="498"/>
      <c r="S12" s="498"/>
      <c r="T12" s="498"/>
      <c r="U12" s="498"/>
      <c r="V12" s="498"/>
    </row>
    <row r="13" spans="1:22" ht="13.8" customHeight="1" thickBot="1" x14ac:dyDescent="0.3">
      <c r="A13" s="145" t="s">
        <v>301</v>
      </c>
      <c r="B13" s="267">
        <f>'Енергоресурси НП'!B13*Довідник!$E$118</f>
        <v>46.208092418772559</v>
      </c>
      <c r="C13" s="267">
        <f>'Енергоресурси НП'!C13*Довідник!$E$118</f>
        <v>59.043673646209385</v>
      </c>
      <c r="D13" s="267">
        <f>'Енергоресурси НП'!D13*Довідник!$E$118</f>
        <v>95.445382007220203</v>
      </c>
      <c r="E13" s="267">
        <f>'Енергоресурси НП'!E13*Довідник!$E$118</f>
        <v>135.85179171119134</v>
      </c>
      <c r="F13" s="267">
        <f>'Енергоресурси НП'!F13*Довідник!$E$118</f>
        <v>194.84412303249098</v>
      </c>
      <c r="G13" s="267">
        <f>'Енергоресурси НП'!G13*Довідник!$E$118</f>
        <v>241.51429637545124</v>
      </c>
      <c r="H13" s="267">
        <f>'Енергоресурси НП'!H13*Довідник!$E$118</f>
        <v>298.19622307581227</v>
      </c>
      <c r="I13" s="267">
        <f>'Енергоресурси НП'!I13*Довідник!$E$118</f>
        <v>300.73766815884477</v>
      </c>
      <c r="J13" s="267">
        <f>'Енергоресурси НП'!J13*Довідник!$E$118</f>
        <v>305.66653135018043</v>
      </c>
      <c r="K13" s="267">
        <f>'Енергоресурси НП'!K13*Довідник!$E$118</f>
        <v>278.17271636101088</v>
      </c>
      <c r="L13" s="267">
        <f>'Енергоресурси НП'!L13*Довідник!$E$118</f>
        <v>233.6075783393502</v>
      </c>
      <c r="M13" s="267">
        <f>'Енергоресурси НП'!M13*Довідник!$E$118</f>
        <v>221.79884361010829</v>
      </c>
      <c r="N13" s="268">
        <f t="shared" si="1"/>
        <v>2411.0869200866423</v>
      </c>
      <c r="Q13" s="498"/>
      <c r="R13" s="498"/>
      <c r="S13" s="498"/>
      <c r="T13" s="498"/>
      <c r="U13" s="498"/>
      <c r="V13" s="498"/>
    </row>
    <row r="14" spans="1:22" s="290" customFormat="1" ht="13.2" customHeight="1" x14ac:dyDescent="0.25">
      <c r="A14" s="296" t="str">
        <f>'Енергоресурси НП'!A14</f>
        <v>Кефір</v>
      </c>
      <c r="B14" s="297">
        <f>'Виробничий план'!B10</f>
        <v>0.8388349514563106</v>
      </c>
      <c r="C14" s="297">
        <f>'Виробничий план'!C10</f>
        <v>1.0718446601941747</v>
      </c>
      <c r="D14" s="297">
        <f>'Виробничий план'!D10</f>
        <v>1.7326601941747573</v>
      </c>
      <c r="E14" s="297">
        <f>'Виробничий план'!E10</f>
        <v>2.4661747572815531</v>
      </c>
      <c r="F14" s="297">
        <f>'Виробничий план'!F10</f>
        <v>3.5370873786407766</v>
      </c>
      <c r="G14" s="297">
        <f>'Виробничий план'!G10</f>
        <v>4.3843106796116507</v>
      </c>
      <c r="H14" s="297">
        <f>'Виробничий план'!H10</f>
        <v>5.4132815533980585</v>
      </c>
      <c r="I14" s="297">
        <f>'Виробничий план'!I10</f>
        <v>5.4594174757281548</v>
      </c>
      <c r="J14" s="297">
        <f>'Виробничий план'!J10</f>
        <v>5.5488932038834955</v>
      </c>
      <c r="K14" s="297">
        <f>'Виробничий план'!K10</f>
        <v>5.0497864077669909</v>
      </c>
      <c r="L14" s="297">
        <f>'Виробничий план'!L10</f>
        <v>4.2407766990291256</v>
      </c>
      <c r="M14" s="297">
        <f>'Виробничий план'!M10</f>
        <v>4.0264077669902916</v>
      </c>
      <c r="N14" s="298">
        <f>SUM(B14:M14)</f>
        <v>43.769475728155342</v>
      </c>
      <c r="Q14" s="498"/>
      <c r="R14" s="498"/>
      <c r="S14" s="498"/>
      <c r="T14" s="498"/>
      <c r="U14" s="498"/>
      <c r="V14" s="498"/>
    </row>
    <row r="15" spans="1:22" x14ac:dyDescent="0.25">
      <c r="A15" s="145" t="s">
        <v>298</v>
      </c>
      <c r="B15" s="267">
        <f>'Енергоресурси НП'!B15*Довідник!$B$118</f>
        <v>324.48932038834948</v>
      </c>
      <c r="C15" s="267">
        <f>'Енергоресурси НП'!C15*Довідник!$B$118</f>
        <v>414.6252427184466</v>
      </c>
      <c r="D15" s="267">
        <f>'Енергоресурси НП'!D15*Довідник!$B$118</f>
        <v>670.25071844660192</v>
      </c>
      <c r="E15" s="267">
        <f>'Енергоресурси НП'!E15*Довідник!$B$118</f>
        <v>953.99860194174744</v>
      </c>
      <c r="F15" s="267">
        <f>'Енергоресурси НП'!F15*Довідник!$B$118</f>
        <v>1368.2633009708738</v>
      </c>
      <c r="G15" s="267">
        <f>'Енергоресурси НП'!G15*Довідник!$B$118</f>
        <v>1695.997514563107</v>
      </c>
      <c r="H15" s="267">
        <f>'Енергоресурси НП'!H15*Довідник!$B$118</f>
        <v>2094.0377475728155</v>
      </c>
      <c r="I15" s="267">
        <f>'Енергоресурси НП'!I15*Довідник!$B$118</f>
        <v>2111.8846601941746</v>
      </c>
      <c r="J15" s="267">
        <f>'Енергоресурси НП'!J15*Довідник!$B$118</f>
        <v>2146.4968543689324</v>
      </c>
      <c r="K15" s="267">
        <f>'Енергоресурси НП'!K15*Довідник!$B$118</f>
        <v>1953.4257087378646</v>
      </c>
      <c r="L15" s="267">
        <f>'Енергоресурси НП'!L15*Довідник!$B$118</f>
        <v>1640.4737864077667</v>
      </c>
      <c r="M15" s="267">
        <f>'Енергоресурси НП'!M15*Довідник!$B$118</f>
        <v>1557.5487378640778</v>
      </c>
      <c r="N15" s="268">
        <f t="shared" ref="N15:N18" si="2">SUM(B15:M15)</f>
        <v>16931.492194174756</v>
      </c>
      <c r="Q15" s="498"/>
      <c r="R15" s="498"/>
      <c r="S15" s="498"/>
      <c r="T15" s="498"/>
      <c r="U15" s="498"/>
      <c r="V15" s="498"/>
    </row>
    <row r="16" spans="1:22" x14ac:dyDescent="0.25">
      <c r="A16" s="145" t="s">
        <v>299</v>
      </c>
      <c r="B16" s="267">
        <f>'Енергоресурси НП'!B16*Довідник!$C$118</f>
        <v>176.15533980582524</v>
      </c>
      <c r="C16" s="267">
        <f>'Енергоресурси НП'!C16*Довідник!$C$118</f>
        <v>225.08737864077665</v>
      </c>
      <c r="D16" s="267">
        <f>'Енергоресурси НП'!D16*Довідник!$C$118</f>
        <v>363.85864077669902</v>
      </c>
      <c r="E16" s="267">
        <f>'Енергоресурси НП'!E16*Довідник!$C$118</f>
        <v>517.89669902912624</v>
      </c>
      <c r="F16" s="267">
        <f>'Енергоресурси НП'!F16*Довідник!$C$118</f>
        <v>742.78834951456315</v>
      </c>
      <c r="G16" s="267">
        <f>'Енергоресурси НП'!G16*Довідник!$C$118</f>
        <v>920.7052427184467</v>
      </c>
      <c r="H16" s="267">
        <f>'Енергоресурси НП'!H16*Довідник!$C$118</f>
        <v>1136.7891262135922</v>
      </c>
      <c r="I16" s="267">
        <f>'Енергоресурси НП'!I16*Довідник!$C$118</f>
        <v>1146.4776699029126</v>
      </c>
      <c r="J16" s="267">
        <f>'Енергоресурси НП'!J16*Довідник!$C$118</f>
        <v>1165.2675728155341</v>
      </c>
      <c r="K16" s="267">
        <f>'Енергоресурси НП'!K16*Довідник!$C$118</f>
        <v>1060.455145631068</v>
      </c>
      <c r="L16" s="267">
        <f>'Енергоресурси НП'!L16*Довідник!$C$118</f>
        <v>890.56310679611624</v>
      </c>
      <c r="M16" s="267">
        <f>'Енергоресурси НП'!M16*Довідник!$C$118</f>
        <v>845.54563106796127</v>
      </c>
      <c r="N16" s="268">
        <f t="shared" si="2"/>
        <v>9191.5899029126213</v>
      </c>
      <c r="Q16" s="498"/>
      <c r="R16" s="498"/>
      <c r="S16" s="498"/>
      <c r="T16" s="498"/>
      <c r="U16" s="498"/>
      <c r="V16" s="498"/>
    </row>
    <row r="17" spans="1:14" x14ac:dyDescent="0.25">
      <c r="A17" s="145" t="s">
        <v>300</v>
      </c>
      <c r="B17" s="267">
        <f>'Енергоресурси НП'!B17*Довідник!$D$118</f>
        <v>73.81747572815533</v>
      </c>
      <c r="C17" s="267">
        <f>'Енергоресурси НП'!C17*Довідник!$D$118</f>
        <v>94.322330097087374</v>
      </c>
      <c r="D17" s="267">
        <f>'Енергоресурси НП'!D17*Довідник!$D$118</f>
        <v>152.47409708737865</v>
      </c>
      <c r="E17" s="267">
        <f>'Енергоресурси НП'!E17*Довідник!$D$118</f>
        <v>217.02337864077668</v>
      </c>
      <c r="F17" s="267">
        <f>'Енергоресурси НП'!F17*Довідник!$D$118</f>
        <v>311.26368932038832</v>
      </c>
      <c r="G17" s="267">
        <f>'Енергоресурси НП'!G17*Довідник!$D$118</f>
        <v>385.81933980582528</v>
      </c>
      <c r="H17" s="267">
        <f>'Енергоресурси НП'!H17*Довідник!$D$118</f>
        <v>476.36877669902913</v>
      </c>
      <c r="I17" s="267">
        <f>'Енергоресурси НП'!I17*Довідник!$D$118</f>
        <v>480.42873786407762</v>
      </c>
      <c r="J17" s="267">
        <f>'Енергоресурси НП'!J17*Довідник!$D$118</f>
        <v>488.30260194174758</v>
      </c>
      <c r="K17" s="267">
        <f>'Енергоресурси НП'!K17*Довідник!$D$118</f>
        <v>444.38120388349523</v>
      </c>
      <c r="L17" s="267">
        <f>'Енергоресурси НП'!L17*Довідник!$D$118</f>
        <v>373.18834951456307</v>
      </c>
      <c r="M17" s="267">
        <f>'Енергоресурси НП'!M17*Довідник!$D$118</f>
        <v>354.32388349514565</v>
      </c>
      <c r="N17" s="268">
        <f t="shared" si="2"/>
        <v>3851.7138640776698</v>
      </c>
    </row>
    <row r="18" spans="1:14" ht="13.8" thickBot="1" x14ac:dyDescent="0.3">
      <c r="A18" s="145" t="s">
        <v>301</v>
      </c>
      <c r="B18" s="267">
        <f>'Енергоресурси НП'!B18*Довідник!$E$118</f>
        <v>211.34314114471977</v>
      </c>
      <c r="C18" s="267">
        <f>'Енергоресурси НП'!C18*Довідник!$E$118</f>
        <v>270.04956924047525</v>
      </c>
      <c r="D18" s="267">
        <f>'Енергоресурси НП'!D18*Довідник!$E$118</f>
        <v>436.54099932003783</v>
      </c>
      <c r="E18" s="267">
        <f>'Енергоресурси НП'!E18*Довідник!$E$118</f>
        <v>621.34883496547616</v>
      </c>
      <c r="F18" s="267">
        <f>'Енергоресурси НП'!F18*Довідник!$E$118</f>
        <v>891.16357849356837</v>
      </c>
      <c r="G18" s="267">
        <f>'Енергоресурси НП'!G18*Довідник!$E$118</f>
        <v>1104.6201510497353</v>
      </c>
      <c r="H18" s="267">
        <f>'Енергоресурси НП'!H18*Довідник!$E$118</f>
        <v>1363.8677375205918</v>
      </c>
      <c r="I18" s="267">
        <f>'Енергоресурси НП'!I18*Довідник!$E$118</f>
        <v>1375.4916102835512</v>
      </c>
      <c r="J18" s="267">
        <f>'Енергоресурси НП'!J18*Довідник!$E$118</f>
        <v>1398.0348786723214</v>
      </c>
      <c r="K18" s="267">
        <f>'Енергоресурси НП'!K18*Довідник!$E$118</f>
        <v>1272.2857096912132</v>
      </c>
      <c r="L18" s="267">
        <f>'Енергоресурси НП'!L18*Довідник!$E$118</f>
        <v>1068.4569913427499</v>
      </c>
      <c r="M18" s="267">
        <f>'Енергоресурси НП'!M18*Довідник!$E$118</f>
        <v>1014.4470774946551</v>
      </c>
      <c r="N18" s="268">
        <f t="shared" si="2"/>
        <v>11027.650279219095</v>
      </c>
    </row>
    <row r="19" spans="1:14" s="290" customFormat="1" x14ac:dyDescent="0.25">
      <c r="A19" s="296" t="str">
        <f>'Енергоресурси НП'!A19</f>
        <v>Сметана</v>
      </c>
      <c r="B19" s="297">
        <f>'Виробничий план'!B12</f>
        <v>4.1142857142857141E-2</v>
      </c>
      <c r="C19" s="297">
        <f>'Виробничий план'!C12</f>
        <v>5.2571428571428568E-2</v>
      </c>
      <c r="D19" s="297">
        <f>'Виробничий план'!D12</f>
        <v>8.4982857142857138E-2</v>
      </c>
      <c r="E19" s="297">
        <f>'Виробничий план'!E12</f>
        <v>0.12095999999999998</v>
      </c>
      <c r="F19" s="297">
        <f>'Виробничий план'!F12</f>
        <v>0.17348571428571427</v>
      </c>
      <c r="G19" s="297">
        <f>'Виробничий план'!G12</f>
        <v>0.21503999999999998</v>
      </c>
      <c r="H19" s="297">
        <f>'Виробничий план'!H12</f>
        <v>0.26550857142857143</v>
      </c>
      <c r="I19" s="297">
        <f>'Виробничий план'!I12</f>
        <v>0.2677714285714286</v>
      </c>
      <c r="J19" s="297">
        <f>'Виробничий план'!J12</f>
        <v>0.27216000000000001</v>
      </c>
      <c r="K19" s="297">
        <f>'Виробничий план'!K12</f>
        <v>0.24768000000000007</v>
      </c>
      <c r="L19" s="297">
        <f>'Виробничий план'!L12</f>
        <v>0.20799999999999999</v>
      </c>
      <c r="M19" s="297">
        <f>'Виробничий план'!M12</f>
        <v>0.19748571428571429</v>
      </c>
      <c r="N19" s="298">
        <f>SUM(B19:M19)</f>
        <v>2.1467885714285715</v>
      </c>
    </row>
    <row r="20" spans="1:14" x14ac:dyDescent="0.25">
      <c r="A20" s="145" t="s">
        <v>298</v>
      </c>
      <c r="B20" s="267">
        <f>'Енергоресурси НП'!B20*Довідник!$B$118</f>
        <v>24.575999999999997</v>
      </c>
      <c r="C20" s="267">
        <f>'Енергоресурси НП'!C20*Довідник!$B$118</f>
        <v>31.402666666666661</v>
      </c>
      <c r="D20" s="267">
        <f>'Енергоресурси НП'!D20*Довідник!$B$118</f>
        <v>50.76309333333333</v>
      </c>
      <c r="E20" s="267">
        <f>'Енергоресурси НП'!E20*Довідник!$B$118</f>
        <v>72.253439999999983</v>
      </c>
      <c r="F20" s="267">
        <f>'Енергоресурси НП'!F20*Довідник!$B$118</f>
        <v>103.62879999999998</v>
      </c>
      <c r="G20" s="267">
        <f>'Енергоресурси НП'!G20*Довідник!$B$118</f>
        <v>128.45055999999997</v>
      </c>
      <c r="H20" s="267">
        <f>'Енергоресурси НП'!H20*Довідник!$B$118</f>
        <v>158.59711999999999</v>
      </c>
      <c r="I20" s="267">
        <f>'Енергоресурси НП'!I20*Довідник!$B$118</f>
        <v>159.94880000000003</v>
      </c>
      <c r="J20" s="267">
        <f>'Енергоресурси НП'!J20*Довідник!$B$118</f>
        <v>162.57023999999998</v>
      </c>
      <c r="K20" s="267">
        <f>'Енергоресурси НП'!K20*Довідник!$B$118</f>
        <v>147.94752000000003</v>
      </c>
      <c r="L20" s="267">
        <f>'Енергоресурси НП'!L20*Довідник!$B$118</f>
        <v>124.24533333333332</v>
      </c>
      <c r="M20" s="267">
        <f>'Енергоресурси НП'!M20*Довідник!$B$118</f>
        <v>117.96480000000001</v>
      </c>
      <c r="N20" s="268">
        <f t="shared" ref="N20:N23" si="3">SUM(B20:M20)</f>
        <v>1282.3483733333333</v>
      </c>
    </row>
    <row r="21" spans="1:14" x14ac:dyDescent="0.25">
      <c r="A21" s="145" t="s">
        <v>299</v>
      </c>
      <c r="B21" s="267">
        <f>'Енергоресурси НП'!B21*Довідник!$C$118</f>
        <v>41.965714285714284</v>
      </c>
      <c r="C21" s="267">
        <f>'Енергоресурси НП'!C21*Довідник!$C$118</f>
        <v>53.622857142857136</v>
      </c>
      <c r="D21" s="267">
        <f>'Енергоресурси НП'!D21*Довідник!$C$118</f>
        <v>86.682514285714277</v>
      </c>
      <c r="E21" s="267">
        <f>'Енергоресурси НП'!E21*Довідник!$C$118</f>
        <v>123.3792</v>
      </c>
      <c r="F21" s="267">
        <f>'Енергоресурси НП'!F21*Довідник!$C$118</f>
        <v>176.95542857142857</v>
      </c>
      <c r="G21" s="267">
        <f>'Енергоресурси НП'!G21*Довідник!$C$118</f>
        <v>219.34079999999997</v>
      </c>
      <c r="H21" s="267">
        <f>'Енергоресурси НП'!H21*Довідник!$C$118</f>
        <v>270.81874285714287</v>
      </c>
      <c r="I21" s="267">
        <f>'Енергоресурси НП'!I21*Довідник!$C$118</f>
        <v>273.12685714285715</v>
      </c>
      <c r="J21" s="267">
        <f>'Енергоресурси НП'!J21*Довідник!$C$118</f>
        <v>277.60320000000002</v>
      </c>
      <c r="K21" s="267">
        <f>'Енергоресурси НП'!K21*Довідник!$C$118</f>
        <v>252.63360000000006</v>
      </c>
      <c r="L21" s="267">
        <f>'Енергоресурси НП'!L21*Довідник!$C$118</f>
        <v>212.16</v>
      </c>
      <c r="M21" s="267">
        <f>'Енергоресурси НП'!M21*Довідник!$C$118</f>
        <v>201.43542857142859</v>
      </c>
      <c r="N21" s="268">
        <f t="shared" si="3"/>
        <v>2189.7243428571433</v>
      </c>
    </row>
    <row r="22" spans="1:14" x14ac:dyDescent="0.25">
      <c r="A22" s="145" t="s">
        <v>300</v>
      </c>
      <c r="B22" s="267">
        <f>'Енергоресурси НП'!B22*Довідник!$D$118</f>
        <v>25.673142857142857</v>
      </c>
      <c r="C22" s="267">
        <f>'Енергоресурси НП'!C22*Довідник!$D$118</f>
        <v>32.804571428571428</v>
      </c>
      <c r="D22" s="267">
        <f>'Енергоресурси НП'!D22*Довідник!$D$118</f>
        <v>53.029302857142852</v>
      </c>
      <c r="E22" s="267">
        <f>'Енергоресурси НП'!E22*Довідник!$D$118</f>
        <v>75.479039999999983</v>
      </c>
      <c r="F22" s="267">
        <f>'Енергоресурси НП'!F22*Довідник!$D$118</f>
        <v>108.2550857142857</v>
      </c>
      <c r="G22" s="267">
        <f>'Енергоресурси НП'!G22*Довідник!$D$118</f>
        <v>134.18495999999999</v>
      </c>
      <c r="H22" s="267">
        <f>'Енергоресурси НП'!H22*Довідник!$D$118</f>
        <v>165.67734857142858</v>
      </c>
      <c r="I22" s="267">
        <f>'Енергоресурси НП'!I22*Довідник!$D$118</f>
        <v>167.08937142857144</v>
      </c>
      <c r="J22" s="267">
        <f>'Енергоресурси НП'!J22*Довідник!$D$118</f>
        <v>169.82784000000001</v>
      </c>
      <c r="K22" s="267">
        <f>'Енергоресурси НП'!K22*Довідник!$D$118</f>
        <v>154.55232000000004</v>
      </c>
      <c r="L22" s="267">
        <f>'Енергоресурси НП'!L22*Довідник!$D$118</f>
        <v>129.792</v>
      </c>
      <c r="M22" s="267">
        <f>'Енергоресурси НП'!M22*Довідник!$D$118</f>
        <v>123.23108571428571</v>
      </c>
      <c r="N22" s="268">
        <f t="shared" si="3"/>
        <v>1339.5960685714285</v>
      </c>
    </row>
    <row r="23" spans="1:14" ht="13.8" thickBot="1" x14ac:dyDescent="0.3">
      <c r="A23" s="145" t="s">
        <v>301</v>
      </c>
      <c r="B23" s="267">
        <f>'Енергоресурси НП'!B23*Довідник!$E$118</f>
        <v>25.373193604951002</v>
      </c>
      <c r="C23" s="267">
        <f>'Енергоресурси НП'!C23*Довідник!$E$118</f>
        <v>32.421302939659611</v>
      </c>
      <c r="D23" s="267">
        <f>'Енергоресурси НП'!D23*Довідник!$E$118</f>
        <v>52.409741012893235</v>
      </c>
      <c r="E23" s="267">
        <f>'Енергоресурси НП'!E23*Довідник!$E$118</f>
        <v>74.597189198555938</v>
      </c>
      <c r="F23" s="267">
        <f>'Енергоресурси НП'!F23*Довідник!$E$118</f>
        <v>106.99029970087672</v>
      </c>
      <c r="G23" s="267">
        <f>'Енергоресурси НП'!G23*Довідник!$E$118</f>
        <v>132.61722524187724</v>
      </c>
      <c r="H23" s="267">
        <f>'Енергоресурси НП'!H23*Довідник!$E$118</f>
        <v>163.74167606395048</v>
      </c>
      <c r="I23" s="267">
        <f>'Енергоресурси НП'!I23*Довідник!$E$118</f>
        <v>165.1372017122228</v>
      </c>
      <c r="J23" s="267">
        <f>'Енергоресурси НП'!J23*Довідник!$E$118</f>
        <v>167.84367569675089</v>
      </c>
      <c r="K23" s="267">
        <f>'Енергоресурси НП'!K23*Довідник!$E$118</f>
        <v>152.74662550180508</v>
      </c>
      <c r="L23" s="267">
        <f>'Енергоресурси НП'!L23*Довідник!$E$118</f>
        <v>128.27558989169674</v>
      </c>
      <c r="M23" s="267">
        <f>'Енергоресурси НП'!M23*Довідник!$E$118</f>
        <v>121.79132930376481</v>
      </c>
      <c r="N23" s="268">
        <f t="shared" si="3"/>
        <v>1323.9450498690044</v>
      </c>
    </row>
    <row r="24" spans="1:14" s="290" customFormat="1" x14ac:dyDescent="0.25">
      <c r="A24" s="296" t="str">
        <f>'Енергоресурси НП'!A24</f>
        <v>Сир м'який</v>
      </c>
      <c r="B24" s="297">
        <f>'Виробничий план'!B14</f>
        <v>0.14399999999999999</v>
      </c>
      <c r="C24" s="297">
        <f>'Виробничий план'!C14</f>
        <v>0.18399999999999997</v>
      </c>
      <c r="D24" s="297">
        <f>'Виробничий план'!D14</f>
        <v>0.29743999999999998</v>
      </c>
      <c r="E24" s="297">
        <f>'Виробничий план'!E14</f>
        <v>0.42335999999999996</v>
      </c>
      <c r="F24" s="297">
        <f>'Виробничий план'!F14</f>
        <v>0.60719999999999996</v>
      </c>
      <c r="G24" s="297">
        <f>'Виробничий план'!G14</f>
        <v>0.75263999999999998</v>
      </c>
      <c r="H24" s="297">
        <f>'Виробничий план'!H14</f>
        <v>0.92927999999999999</v>
      </c>
      <c r="I24" s="297">
        <f>'Виробничий план'!I14</f>
        <v>0.93719999999999992</v>
      </c>
      <c r="J24" s="297">
        <f>'Виробничий план'!J14</f>
        <v>0.95256000000000007</v>
      </c>
      <c r="K24" s="297">
        <f>'Виробничий план'!K14</f>
        <v>0.86688000000000009</v>
      </c>
      <c r="L24" s="297">
        <f>'Виробничий план'!L14</f>
        <v>0.72799999999999987</v>
      </c>
      <c r="M24" s="297">
        <f>'Виробничий план'!M14</f>
        <v>0.69120000000000015</v>
      </c>
      <c r="N24" s="298">
        <f t="shared" ref="N24:N33" si="4">SUM(B24:M24)</f>
        <v>7.5137600000000004</v>
      </c>
    </row>
    <row r="25" spans="1:14" x14ac:dyDescent="0.25">
      <c r="A25" s="145" t="s">
        <v>298</v>
      </c>
      <c r="B25" s="267">
        <f>'Енергоресурси НП'!B25*Довідник!$B$118</f>
        <v>172.00799999999998</v>
      </c>
      <c r="C25" s="267">
        <f>'Енергоресурси НП'!C25*Довідник!$B$118</f>
        <v>219.78799999999998</v>
      </c>
      <c r="D25" s="267">
        <f>'Енергоресурси НП'!D25*Довідник!$B$118</f>
        <v>355.29208000000006</v>
      </c>
      <c r="E25" s="267">
        <f>'Енергоресурси НП'!E25*Довідник!$B$118</f>
        <v>505.70351999999997</v>
      </c>
      <c r="F25" s="267">
        <f>'Енергоресурси НП'!F25*Довідник!$B$118</f>
        <v>725.30040000000008</v>
      </c>
      <c r="G25" s="267">
        <f>'Енергоресурси НП'!G25*Довідник!$B$118</f>
        <v>899.02848000000006</v>
      </c>
      <c r="H25" s="267">
        <f>'Енергоресурси НП'!H25*Довідник!$B$118</f>
        <v>1110.0249600000002</v>
      </c>
      <c r="I25" s="267">
        <f>'Енергоресурси НП'!I25*Довідник!$B$118</f>
        <v>1119.4854</v>
      </c>
      <c r="J25" s="267">
        <f>'Енергоресурси НП'!J25*Довідник!$B$118</f>
        <v>1137.8329200000003</v>
      </c>
      <c r="K25" s="267">
        <f>'Енергоресурси НП'!K25*Довідник!$B$118</f>
        <v>1035.4881600000003</v>
      </c>
      <c r="L25" s="267">
        <f>'Енергоресурси НП'!L25*Довідник!$B$118</f>
        <v>869.59599999999989</v>
      </c>
      <c r="M25" s="267">
        <f>'Енергоресурси НП'!M25*Довідник!$B$118</f>
        <v>825.63840000000027</v>
      </c>
      <c r="N25" s="268">
        <f t="shared" si="4"/>
        <v>8975.1863200000007</v>
      </c>
    </row>
    <row r="26" spans="1:14" x14ac:dyDescent="0.25">
      <c r="A26" s="145" t="s">
        <v>299</v>
      </c>
      <c r="B26" s="267">
        <f>'Енергоресурси НП'!B26*Довідник!$C$118</f>
        <v>155.51999999999998</v>
      </c>
      <c r="C26" s="267">
        <f>'Енергоресурси НП'!C26*Довідник!$C$118</f>
        <v>198.71999999999997</v>
      </c>
      <c r="D26" s="267">
        <f>'Енергоресурси НП'!D26*Довідник!$C$118</f>
        <v>321.23519999999996</v>
      </c>
      <c r="E26" s="267">
        <f>'Енергоресурси НП'!E26*Довідник!$C$118</f>
        <v>457.22879999999998</v>
      </c>
      <c r="F26" s="267">
        <f>'Енергоресурси НП'!F26*Довідник!$C$118</f>
        <v>655.77599999999995</v>
      </c>
      <c r="G26" s="267">
        <f>'Енергоресурси НП'!G26*Довідник!$C$118</f>
        <v>812.85120000000006</v>
      </c>
      <c r="H26" s="267">
        <f>'Енергоресурси НП'!H26*Довідник!$C$118</f>
        <v>1003.6224</v>
      </c>
      <c r="I26" s="267">
        <f>'Енергоресурси НП'!I26*Довідник!$C$118</f>
        <v>1012.1759999999999</v>
      </c>
      <c r="J26" s="267">
        <f>'Енергоресурси НП'!J26*Довідник!$C$118</f>
        <v>1028.7647999999999</v>
      </c>
      <c r="K26" s="267">
        <f>'Енергоресурси НП'!K26*Довідник!$C$118</f>
        <v>936.23040000000015</v>
      </c>
      <c r="L26" s="267">
        <f>'Енергоресурси НП'!L26*Довідник!$C$118</f>
        <v>786.23999999999978</v>
      </c>
      <c r="M26" s="267">
        <f>'Енергоресурси НП'!M26*Довідник!$C$118</f>
        <v>746.49600000000009</v>
      </c>
      <c r="N26" s="268">
        <f t="shared" si="4"/>
        <v>8114.8608000000004</v>
      </c>
    </row>
    <row r="27" spans="1:14" x14ac:dyDescent="0.25">
      <c r="A27" s="145" t="s">
        <v>300</v>
      </c>
      <c r="B27" s="267">
        <f>'Енергоресурси НП'!B27*Довідник!$D$118</f>
        <v>138.23999999999998</v>
      </c>
      <c r="C27" s="267">
        <f>'Енергоресурси НП'!C27*Довідник!$D$118</f>
        <v>176.63999999999996</v>
      </c>
      <c r="D27" s="267">
        <f>'Енергоресурси НП'!D27*Довідник!$D$118</f>
        <v>285.54239999999999</v>
      </c>
      <c r="E27" s="267">
        <f>'Енергоресурси НП'!E27*Довідник!$D$118</f>
        <v>406.42559999999997</v>
      </c>
      <c r="F27" s="267">
        <f>'Енергоресурси НП'!F27*Довідник!$D$118</f>
        <v>582.91199999999992</v>
      </c>
      <c r="G27" s="267">
        <f>'Енергоресурси НП'!G27*Довідник!$D$118</f>
        <v>722.53440000000001</v>
      </c>
      <c r="H27" s="267">
        <f>'Енергоресурси НП'!H27*Довідник!$D$118</f>
        <v>892.10879999999997</v>
      </c>
      <c r="I27" s="267">
        <f>'Енергоресурси НП'!I27*Довідник!$D$118</f>
        <v>899.71199999999988</v>
      </c>
      <c r="J27" s="267">
        <f>'Енергоресурси НП'!J27*Довідник!$D$118</f>
        <v>914.45760000000007</v>
      </c>
      <c r="K27" s="267">
        <f>'Енергоресурси НП'!K27*Довідник!$D$118</f>
        <v>832.20480000000009</v>
      </c>
      <c r="L27" s="267">
        <f>'Енергоресурси НП'!L27*Довідник!$D$118</f>
        <v>698.87999999999988</v>
      </c>
      <c r="M27" s="267">
        <f>'Енергоресурси НП'!M27*Довідник!$D$118</f>
        <v>663.55200000000013</v>
      </c>
      <c r="N27" s="268">
        <f t="shared" si="4"/>
        <v>7213.2096000000001</v>
      </c>
    </row>
    <row r="28" spans="1:14" ht="13.8" thickBot="1" x14ac:dyDescent="0.3">
      <c r="A28" s="145" t="s">
        <v>301</v>
      </c>
      <c r="B28" s="267">
        <f>'Енергоресурси НП'!B28*Довідник!$E$118</f>
        <v>487.35097472924178</v>
      </c>
      <c r="C28" s="267">
        <f>'Енергоресурси НП'!C28*Довідник!$E$118</f>
        <v>622.72624548736451</v>
      </c>
      <c r="D28" s="267">
        <f>'Енергоресурси НП'!D28*Довідник!$E$118</f>
        <v>1006.6505133574007</v>
      </c>
      <c r="E28" s="267">
        <f>'Енергоресурси НП'!E28*Довідник!$E$118</f>
        <v>1432.8118657039709</v>
      </c>
      <c r="F28" s="267">
        <f>'Енергоресурси НП'!F28*Довідник!$E$118</f>
        <v>2054.9966101083028</v>
      </c>
      <c r="G28" s="267">
        <f>'Енергоресурси НП'!G28*Довідник!$E$118</f>
        <v>2547.2210945848374</v>
      </c>
      <c r="H28" s="267">
        <f>'Енергоресурси НП'!H28*Довідник!$E$118</f>
        <v>3145.0382902527072</v>
      </c>
      <c r="I28" s="267">
        <f>'Енергоресурси НП'!I28*Довідник!$E$118</f>
        <v>3171.8425938628156</v>
      </c>
      <c r="J28" s="267">
        <f>'Енергоресурси НП'!J28*Довідник!$E$118</f>
        <v>3223.8266978339352</v>
      </c>
      <c r="K28" s="267">
        <f>'Енергоресурси НП'!K28*Довідник!$E$118</f>
        <v>2933.8528678700363</v>
      </c>
      <c r="L28" s="267">
        <f>'Енергоресурси НП'!L28*Довідник!$E$118</f>
        <v>2463.8299277978335</v>
      </c>
      <c r="M28" s="267">
        <f>'Енергоресурси НП'!M28*Довідник!$E$118</f>
        <v>2339.2846787003614</v>
      </c>
      <c r="N28" s="268">
        <f t="shared" si="4"/>
        <v>25429.432360288807</v>
      </c>
    </row>
    <row r="29" spans="1:14" s="290" customFormat="1" x14ac:dyDescent="0.25">
      <c r="A29" s="296" t="str">
        <f>'Енергоресурси НП'!A29</f>
        <v>Сир Рікотта</v>
      </c>
      <c r="B29" s="297">
        <f>'Виробничий план'!B16</f>
        <v>4.4160665742024978E-2</v>
      </c>
      <c r="C29" s="297">
        <f>'Виробничий план'!C16</f>
        <v>5.6427517337031899E-2</v>
      </c>
      <c r="D29" s="297">
        <f>'Виробничий план'!D16</f>
        <v>9.1216308460471587E-2</v>
      </c>
      <c r="E29" s="297">
        <f>'Виробничий план'!E16</f>
        <v>0.12983235728155343</v>
      </c>
      <c r="F29" s="297">
        <f>'Виробничий план'!F16</f>
        <v>0.18621080721220529</v>
      </c>
      <c r="G29" s="297">
        <f>'Виробничий план'!G16</f>
        <v>0.23081307961165043</v>
      </c>
      <c r="H29" s="297">
        <f>'Виробничий план'!H16</f>
        <v>0.28498349625520109</v>
      </c>
      <c r="I29" s="297">
        <f>'Виробничий план'!I16</f>
        <v>0.28741233287101237</v>
      </c>
      <c r="J29" s="297">
        <f>'Виробничий план'!J16</f>
        <v>0.29212280388349521</v>
      </c>
      <c r="K29" s="297">
        <f>'Виробничий план'!K16</f>
        <v>0.26584720776699028</v>
      </c>
      <c r="L29" s="297">
        <f>'Виробничий план'!L16</f>
        <v>0.22325669902912618</v>
      </c>
      <c r="M29" s="297">
        <f>'Виробничий план'!M16</f>
        <v>0.21197119556171981</v>
      </c>
      <c r="N29" s="298">
        <f t="shared" si="4"/>
        <v>2.3042544710124826</v>
      </c>
    </row>
    <row r="30" spans="1:14" x14ac:dyDescent="0.25">
      <c r="A30" s="145" t="s">
        <v>298</v>
      </c>
      <c r="B30" s="267">
        <f>'Енергоресурси НП'!B30*Довідник!$B$118</f>
        <v>52.749915228848842</v>
      </c>
      <c r="C30" s="267">
        <f>'Енергоресурси НП'!C30*Довідник!$B$118</f>
        <v>67.402669459084606</v>
      </c>
      <c r="D30" s="267">
        <f>'Енергоресурси НП'!D30*Довідник!$B$118</f>
        <v>108.95788045603332</v>
      </c>
      <c r="E30" s="267">
        <f>'Енергоресурси НП'!E30*Довідник!$B$118</f>
        <v>155.08475077281557</v>
      </c>
      <c r="F30" s="267">
        <f>'Енергоресурси НП'!F30*Довідник!$B$118</f>
        <v>222.42880921497925</v>
      </c>
      <c r="G30" s="267">
        <f>'Енергоресурси НП'!G30*Довідник!$B$118</f>
        <v>275.7062235961165</v>
      </c>
      <c r="H30" s="267">
        <f>'Енергоресурси НП'!H30*Довідник!$B$118</f>
        <v>340.41278627683772</v>
      </c>
      <c r="I30" s="267">
        <f>'Енергоресурси НП'!I30*Довідник!$B$118</f>
        <v>343.31403161442432</v>
      </c>
      <c r="J30" s="267">
        <f>'Енергоресурси НП'!J30*Довідник!$B$118</f>
        <v>348.94068923883503</v>
      </c>
      <c r="K30" s="267">
        <f>'Енергоресурси НП'!K30*Довідник!$B$118</f>
        <v>317.55448967766989</v>
      </c>
      <c r="L30" s="267">
        <f>'Енергоресурси НП'!L30*Довідник!$B$118</f>
        <v>266.68012699029128</v>
      </c>
      <c r="M30" s="267">
        <f>'Енергоресурси НП'!M30*Довідник!$B$118</f>
        <v>253.19959309847434</v>
      </c>
      <c r="N30" s="268">
        <f t="shared" si="4"/>
        <v>2752.4319656244106</v>
      </c>
    </row>
    <row r="31" spans="1:14" x14ac:dyDescent="0.25">
      <c r="A31" s="145" t="s">
        <v>299</v>
      </c>
      <c r="B31" s="267">
        <f>'Енергоресурси НП'!B31*Довідник!$C$118</f>
        <v>47.693519001386974</v>
      </c>
      <c r="C31" s="267">
        <f>'Енергоресурси НП'!C31*Довідник!$C$118</f>
        <v>60.941718723994455</v>
      </c>
      <c r="D31" s="267">
        <f>'Енергоресурси НП'!D31*Довідник!$C$118</f>
        <v>98.513613137309321</v>
      </c>
      <c r="E31" s="267">
        <f>'Енергоресурси НП'!E31*Довідник!$C$118</f>
        <v>140.21894586407771</v>
      </c>
      <c r="F31" s="267">
        <f>'Енергоресурси НП'!F31*Довідник!$C$118</f>
        <v>201.10767178918169</v>
      </c>
      <c r="G31" s="267">
        <f>'Енергоресурси НП'!G31*Довідник!$C$118</f>
        <v>249.27812598058244</v>
      </c>
      <c r="H31" s="267">
        <f>'Енергоресурси НП'!H31*Довідник!$C$118</f>
        <v>307.78217595561716</v>
      </c>
      <c r="I31" s="267">
        <f>'Енергоресурси НП'!I31*Довідник!$C$118</f>
        <v>310.40531950069334</v>
      </c>
      <c r="J31" s="267">
        <f>'Енергоресурси НП'!J31*Довідник!$C$118</f>
        <v>315.49262819417481</v>
      </c>
      <c r="K31" s="267">
        <f>'Енергоресурси НП'!K31*Довідник!$C$118</f>
        <v>287.11498438834951</v>
      </c>
      <c r="L31" s="267">
        <f>'Енергоресурси НП'!L31*Довідник!$C$118</f>
        <v>241.11723495145625</v>
      </c>
      <c r="M31" s="267">
        <f>'Енергоресурси НП'!M31*Довідник!$C$118</f>
        <v>228.9288912066574</v>
      </c>
      <c r="N31" s="268">
        <f t="shared" si="4"/>
        <v>2488.5948286934808</v>
      </c>
    </row>
    <row r="32" spans="1:14" x14ac:dyDescent="0.25">
      <c r="A32" s="145" t="s">
        <v>300</v>
      </c>
      <c r="B32" s="267">
        <f>'Енергоресурси НП'!B32*Довідник!$D$118</f>
        <v>7.0657065187239967</v>
      </c>
      <c r="C32" s="267">
        <f>'Енергоресурси НП'!C32*Довідник!$D$118</f>
        <v>9.0284027739251034</v>
      </c>
      <c r="D32" s="267">
        <f>'Енергоресурси НП'!D32*Довідник!$D$118</f>
        <v>14.594609353675454</v>
      </c>
      <c r="E32" s="267">
        <f>'Енергоресурси НП'!E32*Довідник!$D$118</f>
        <v>20.773177165048548</v>
      </c>
      <c r="F32" s="267">
        <f>'Енергоресурси НП'!F32*Довідник!$D$118</f>
        <v>29.793729153952846</v>
      </c>
      <c r="G32" s="267">
        <f>'Енергоресурси НП'!G32*Довідник!$D$118</f>
        <v>36.930092737864072</v>
      </c>
      <c r="H32" s="267">
        <f>'Енергоресурси НП'!H32*Довідник!$D$118</f>
        <v>45.597359400832175</v>
      </c>
      <c r="I32" s="267">
        <f>'Енергоресурси НП'!I32*Довідник!$D$118</f>
        <v>45.985973259361977</v>
      </c>
      <c r="J32" s="267">
        <f>'Енергоресурси НП'!J32*Довідник!$D$118</f>
        <v>46.739648621359237</v>
      </c>
      <c r="K32" s="267">
        <f>'Енергоресурси НП'!K32*Довідник!$D$118</f>
        <v>42.535553242718443</v>
      </c>
      <c r="L32" s="267">
        <f>'Енергоресурси НП'!L32*Довідник!$D$118</f>
        <v>35.721071844660187</v>
      </c>
      <c r="M32" s="267">
        <f>'Енергоресурси НП'!M32*Довідник!$D$118</f>
        <v>33.915391289875167</v>
      </c>
      <c r="N32" s="268">
        <f t="shared" si="4"/>
        <v>368.68071536199722</v>
      </c>
    </row>
    <row r="33" spans="1:14" ht="13.8" thickBot="1" x14ac:dyDescent="0.3">
      <c r="A33" s="145" t="s">
        <v>301</v>
      </c>
      <c r="B33" s="267">
        <f>'Енергоресурси НП'!B33*Довідник!$E$118</f>
        <v>83.031417801188709</v>
      </c>
      <c r="C33" s="267">
        <f>'Енергоресурси НП'!C33*Довідник!$E$118</f>
        <v>106.09570052374109</v>
      </c>
      <c r="D33" s="267">
        <f>'Енергоресурси НП'!D33*Довідник!$E$118</f>
        <v>171.50600632489977</v>
      </c>
      <c r="E33" s="267">
        <f>'Енергоресурси НП'!E33*Довідник!$E$118</f>
        <v>244.11236833549478</v>
      </c>
      <c r="F33" s="267">
        <f>'Енергоресурси НП'!F33*Довідник!$E$118</f>
        <v>350.11581172834565</v>
      </c>
      <c r="G33" s="267">
        <f>'Енергоресурси НП'!G33*Довідник!$E$118</f>
        <v>433.97754370754609</v>
      </c>
      <c r="H33" s="267">
        <f>'Енергоресурси НП'!H33*Довідник!$E$118</f>
        <v>535.82941621033763</v>
      </c>
      <c r="I33" s="267">
        <f>'Енергоресурси НП'!I33*Довідник!$E$118</f>
        <v>540.39614418940278</v>
      </c>
      <c r="J33" s="267">
        <f>'Енергоресурси НП'!J33*Довідник!$E$118</f>
        <v>549.25282875486323</v>
      </c>
      <c r="K33" s="267">
        <f>'Енергоресурси НП'!K33*Довідник!$E$118</f>
        <v>499.84913516315584</v>
      </c>
      <c r="L33" s="267">
        <f>'Енергоресурси НП'!L33*Довідник!$E$118</f>
        <v>419.76994555045383</v>
      </c>
      <c r="M33" s="267">
        <f>'Енергоресурси НП'!M33*Довідник!$E$118</f>
        <v>398.55080544570558</v>
      </c>
      <c r="N33" s="268">
        <f t="shared" si="4"/>
        <v>4332.4871237351354</v>
      </c>
    </row>
    <row r="34" spans="1:14" ht="24.6" thickBot="1" x14ac:dyDescent="0.3">
      <c r="A34" s="273" t="s">
        <v>302</v>
      </c>
      <c r="B34" s="274">
        <f>B5+B10+B15+B20+B25+B30</f>
        <v>713.95123561719834</v>
      </c>
      <c r="C34" s="274">
        <f t="shared" ref="C34:N34" si="5">C5+C10+C15+C20+C25+C30</f>
        <v>912.27102328864225</v>
      </c>
      <c r="D34" s="274">
        <f t="shared" si="5"/>
        <v>1474.7059411248574</v>
      </c>
      <c r="E34" s="274">
        <f t="shared" si="5"/>
        <v>2099.016632714563</v>
      </c>
      <c r="F34" s="274">
        <f t="shared" si="5"/>
        <v>3010.4943768525195</v>
      </c>
      <c r="G34" s="274">
        <f t="shared" si="5"/>
        <v>3731.58512482589</v>
      </c>
      <c r="H34" s="274">
        <f t="shared" si="5"/>
        <v>4607.3653071829858</v>
      </c>
      <c r="I34" s="274">
        <f t="shared" si="5"/>
        <v>4646.6326251419332</v>
      </c>
      <c r="J34" s="274">
        <f t="shared" si="5"/>
        <v>4722.7874236077678</v>
      </c>
      <c r="K34" s="274">
        <f t="shared" si="5"/>
        <v>4297.9864384155353</v>
      </c>
      <c r="L34" s="274">
        <f t="shared" si="5"/>
        <v>3609.4201356202802</v>
      </c>
      <c r="M34" s="274">
        <f t="shared" si="5"/>
        <v>3426.9659309625526</v>
      </c>
      <c r="N34" s="275">
        <f t="shared" si="5"/>
        <v>37253.182195354726</v>
      </c>
    </row>
    <row r="35" spans="1:14" ht="24.6" thickBot="1" x14ac:dyDescent="0.3">
      <c r="A35" s="273" t="s">
        <v>303</v>
      </c>
      <c r="B35" s="274">
        <f t="shared" ref="B35:N37" si="6">B6+B11+B16+B21+B26+B31</f>
        <v>550.35857309292646</v>
      </c>
      <c r="C35" s="274">
        <f t="shared" si="6"/>
        <v>703.23595450762809</v>
      </c>
      <c r="D35" s="274">
        <f t="shared" si="6"/>
        <v>1136.7962081997225</v>
      </c>
      <c r="E35" s="274">
        <f t="shared" si="6"/>
        <v>1618.0542048932039</v>
      </c>
      <c r="F35" s="274">
        <f t="shared" si="6"/>
        <v>2320.6786498751731</v>
      </c>
      <c r="G35" s="274">
        <f t="shared" si="6"/>
        <v>2876.5408086990292</v>
      </c>
      <c r="H35" s="274">
        <f t="shared" si="6"/>
        <v>3551.6473250263525</v>
      </c>
      <c r="I35" s="274">
        <f t="shared" si="6"/>
        <v>3581.9170465464631</v>
      </c>
      <c r="J35" s="274">
        <f t="shared" si="6"/>
        <v>3640.6219610097087</v>
      </c>
      <c r="K35" s="274">
        <f t="shared" si="6"/>
        <v>3313.1586100194181</v>
      </c>
      <c r="L35" s="274">
        <f t="shared" si="6"/>
        <v>2782.3683417475722</v>
      </c>
      <c r="M35" s="274">
        <f t="shared" si="6"/>
        <v>2641.7211508460473</v>
      </c>
      <c r="N35" s="275">
        <f t="shared" si="6"/>
        <v>28717.098834463242</v>
      </c>
    </row>
    <row r="36" spans="1:14" ht="24.6" thickBot="1" x14ac:dyDescent="0.3">
      <c r="A36" s="273" t="s">
        <v>304</v>
      </c>
      <c r="B36" s="274">
        <f t="shared" si="6"/>
        <v>326.9723251040221</v>
      </c>
      <c r="C36" s="274">
        <f t="shared" si="6"/>
        <v>417.79797096625055</v>
      </c>
      <c r="D36" s="274">
        <f t="shared" si="6"/>
        <v>675.37950263153016</v>
      </c>
      <c r="E36" s="274">
        <f t="shared" si="6"/>
        <v>961.29863580582514</v>
      </c>
      <c r="F36" s="274">
        <f t="shared" si="6"/>
        <v>1378.7333041886268</v>
      </c>
      <c r="G36" s="274">
        <f t="shared" si="6"/>
        <v>1708.9753525436893</v>
      </c>
      <c r="H36" s="274">
        <f t="shared" si="6"/>
        <v>2110.0614046712903</v>
      </c>
      <c r="I36" s="274">
        <f t="shared" si="6"/>
        <v>2128.0448825520107</v>
      </c>
      <c r="J36" s="274">
        <f t="shared" si="6"/>
        <v>2162.9219305631068</v>
      </c>
      <c r="K36" s="274">
        <f t="shared" si="6"/>
        <v>1968.3733971262141</v>
      </c>
      <c r="L36" s="274">
        <f t="shared" si="6"/>
        <v>1653.0267546925563</v>
      </c>
      <c r="M36" s="274">
        <f t="shared" si="6"/>
        <v>1569.4671604993066</v>
      </c>
      <c r="N36" s="275">
        <f t="shared" si="6"/>
        <v>17061.052621344428</v>
      </c>
    </row>
    <row r="37" spans="1:14" ht="24.6" thickBot="1" x14ac:dyDescent="0.3">
      <c r="A37" s="299" t="s">
        <v>305</v>
      </c>
      <c r="B37" s="300">
        <f t="shared" si="6"/>
        <v>883.63088034869327</v>
      </c>
      <c r="C37" s="300">
        <f t="shared" si="6"/>
        <v>1129.0839026677747</v>
      </c>
      <c r="D37" s="300">
        <f t="shared" si="6"/>
        <v>1825.18867396469</v>
      </c>
      <c r="E37" s="300">
        <f t="shared" si="6"/>
        <v>2597.8747882251587</v>
      </c>
      <c r="F37" s="300">
        <f t="shared" si="6"/>
        <v>3725.9768788036567</v>
      </c>
      <c r="G37" s="300">
        <f t="shared" si="6"/>
        <v>4618.4440679558375</v>
      </c>
      <c r="H37" s="300">
        <f t="shared" si="6"/>
        <v>5702.3646145169014</v>
      </c>
      <c r="I37" s="300">
        <f t="shared" si="6"/>
        <v>5750.9643129360793</v>
      </c>
      <c r="J37" s="300">
        <f t="shared" si="6"/>
        <v>5845.2182735066071</v>
      </c>
      <c r="K37" s="300">
        <f t="shared" si="6"/>
        <v>5319.457899699134</v>
      </c>
      <c r="L37" s="300">
        <f t="shared" si="6"/>
        <v>4467.2450062072821</v>
      </c>
      <c r="M37" s="300">
        <f t="shared" si="6"/>
        <v>4241.4282256737288</v>
      </c>
      <c r="N37" s="301">
        <f t="shared" si="6"/>
        <v>46106.877524505544</v>
      </c>
    </row>
    <row r="38" spans="1:14" ht="13.8" thickBot="1" x14ac:dyDescent="0.3">
      <c r="A38" s="302" t="s">
        <v>306</v>
      </c>
      <c r="B38" s="303">
        <f>B34+B35+B36+B37</f>
        <v>2474.9130141628402</v>
      </c>
      <c r="C38" s="303">
        <f t="shared" ref="C38:N38" si="7">C34+C35+C36+C37</f>
        <v>3162.3888514302953</v>
      </c>
      <c r="D38" s="303">
        <f t="shared" si="7"/>
        <v>5112.0703259208003</v>
      </c>
      <c r="E38" s="303">
        <f t="shared" si="7"/>
        <v>7276.2442616387507</v>
      </c>
      <c r="F38" s="303">
        <f t="shared" si="7"/>
        <v>10435.883209719976</v>
      </c>
      <c r="G38" s="303">
        <f t="shared" si="7"/>
        <v>12935.545354024447</v>
      </c>
      <c r="H38" s="303">
        <f t="shared" si="7"/>
        <v>15971.43865139753</v>
      </c>
      <c r="I38" s="303">
        <f t="shared" si="7"/>
        <v>16107.558867176487</v>
      </c>
      <c r="J38" s="303">
        <f t="shared" si="7"/>
        <v>16371.54958868719</v>
      </c>
      <c r="K38" s="303">
        <f t="shared" si="7"/>
        <v>14898.9763452603</v>
      </c>
      <c r="L38" s="303">
        <f t="shared" si="7"/>
        <v>12512.060238267692</v>
      </c>
      <c r="M38" s="303">
        <f t="shared" si="7"/>
        <v>11879.582467981636</v>
      </c>
      <c r="N38" s="303">
        <f t="shared" si="7"/>
        <v>129138.21117566794</v>
      </c>
    </row>
    <row r="41" spans="1:14" ht="14.4" customHeight="1" thickBot="1" x14ac:dyDescent="0.3">
      <c r="A41" s="486" t="s">
        <v>296</v>
      </c>
      <c r="B41" s="486"/>
      <c r="C41" s="486"/>
      <c r="D41" s="486"/>
      <c r="E41" s="486"/>
      <c r="F41" s="486"/>
      <c r="G41" s="486"/>
      <c r="H41" s="486"/>
      <c r="I41" s="486"/>
      <c r="J41" s="486"/>
      <c r="K41" s="486"/>
      <c r="L41" s="486"/>
      <c r="M41" s="486"/>
      <c r="N41" s="486"/>
    </row>
    <row r="42" spans="1:14" ht="13.2" customHeight="1" x14ac:dyDescent="0.25">
      <c r="A42" s="487" t="s">
        <v>32</v>
      </c>
      <c r="B42" s="489" t="s">
        <v>33</v>
      </c>
      <c r="C42" s="490"/>
      <c r="D42" s="490"/>
      <c r="E42" s="490"/>
      <c r="F42" s="490"/>
      <c r="G42" s="490"/>
      <c r="H42" s="490"/>
      <c r="I42" s="490"/>
      <c r="J42" s="490"/>
      <c r="K42" s="490"/>
      <c r="L42" s="490"/>
      <c r="M42" s="491"/>
      <c r="N42" s="492" t="s">
        <v>209</v>
      </c>
    </row>
    <row r="43" spans="1:14" ht="13.8" thickBot="1" x14ac:dyDescent="0.3">
      <c r="A43" s="502"/>
      <c r="B43" s="294" t="s">
        <v>34</v>
      </c>
      <c r="C43" s="295" t="s">
        <v>35</v>
      </c>
      <c r="D43" s="295" t="s">
        <v>36</v>
      </c>
      <c r="E43" s="295" t="s">
        <v>37</v>
      </c>
      <c r="F43" s="295" t="s">
        <v>38</v>
      </c>
      <c r="G43" s="295" t="s">
        <v>39</v>
      </c>
      <c r="H43" s="295" t="s">
        <v>40</v>
      </c>
      <c r="I43" s="295" t="s">
        <v>41</v>
      </c>
      <c r="J43" s="295" t="s">
        <v>42</v>
      </c>
      <c r="K43" s="295" t="s">
        <v>43</v>
      </c>
      <c r="L43" s="295" t="s">
        <v>44</v>
      </c>
      <c r="M43" s="295" t="s">
        <v>45</v>
      </c>
      <c r="N43" s="503"/>
    </row>
    <row r="44" spans="1:14" x14ac:dyDescent="0.25">
      <c r="A44" s="296" t="str">
        <f>A4</f>
        <v>Молоко питне</v>
      </c>
      <c r="B44" s="297">
        <f>'Виробничий план'!B24</f>
        <v>1.536</v>
      </c>
      <c r="C44" s="297">
        <f>'Виробничий план'!C24</f>
        <v>1.8128</v>
      </c>
      <c r="D44" s="297">
        <f>'Виробничий план'!D24</f>
        <v>2.6611200000000004</v>
      </c>
      <c r="E44" s="297">
        <f>'Виробничий план'!E24</f>
        <v>2.8980000000000001</v>
      </c>
      <c r="F44" s="297">
        <f>'Виробничий план'!F24</f>
        <v>3.2384000000000004</v>
      </c>
      <c r="G44" s="297">
        <f>'Виробничий план'!G24</f>
        <v>3.2256</v>
      </c>
      <c r="H44" s="297">
        <f>'Виробничий план'!H24</f>
        <v>3.3792</v>
      </c>
      <c r="I44" s="297">
        <f>'Виробничий план'!I24</f>
        <v>3.5481600000000002</v>
      </c>
      <c r="J44" s="297">
        <f>'Виробничий план'!J24</f>
        <v>3.3012000000000001</v>
      </c>
      <c r="K44" s="297">
        <f>'Виробничий план'!K24</f>
        <v>2.7417599999999998</v>
      </c>
      <c r="L44" s="297">
        <f>'Виробничий план'!L24</f>
        <v>2.7648000000000001</v>
      </c>
      <c r="M44" s="297">
        <f>'Виробничий план'!M24</f>
        <v>2.3359999999999999</v>
      </c>
      <c r="N44" s="298">
        <f>SUM(B44:M44)</f>
        <v>33.443040000000003</v>
      </c>
    </row>
    <row r="45" spans="1:14" x14ac:dyDescent="0.25">
      <c r="A45" s="145" t="s">
        <v>298</v>
      </c>
      <c r="B45" s="267">
        <f>'Енергоресурси НП'!B44*Довідник!$B$119</f>
        <v>462.59200000000004</v>
      </c>
      <c r="C45" s="267">
        <f>'Енергоресурси НП'!C44*Довідник!$B$119</f>
        <v>545.95493333333332</v>
      </c>
      <c r="D45" s="267">
        <f>'Енергоресурси НП'!D44*Довідник!$B$119</f>
        <v>801.44064000000014</v>
      </c>
      <c r="E45" s="267">
        <f>'Енергоресурси НП'!E44*Довідник!$B$119</f>
        <v>872.78100000000006</v>
      </c>
      <c r="F45" s="267">
        <f>'Енергоресурси НП'!F44*Довідник!$B$119</f>
        <v>975.29813333333357</v>
      </c>
      <c r="G45" s="267">
        <f>'Енергоресурси НП'!G44*Довідник!$B$119</f>
        <v>971.44320000000005</v>
      </c>
      <c r="H45" s="267">
        <f>'Енергоресурси НП'!H44*Довідник!$B$119</f>
        <v>1017.7024000000001</v>
      </c>
      <c r="I45" s="267">
        <f>'Енергоресурси НП'!I44*Довідник!$B$119</f>
        <v>1068.5875200000003</v>
      </c>
      <c r="J45" s="267">
        <f>'Енергоресурси НП'!J44*Довідник!$B$119</f>
        <v>994.21140000000003</v>
      </c>
      <c r="K45" s="267">
        <f>'Енергоресурси НП'!K44*Довідник!$B$119</f>
        <v>825.72672</v>
      </c>
      <c r="L45" s="267">
        <f>'Енергоресурси НП'!L44*Довідник!$B$119</f>
        <v>832.66560000000004</v>
      </c>
      <c r="M45" s="267">
        <f>'Енергоресурси НП'!M44*Довідник!$B$119</f>
        <v>703.52533333333326</v>
      </c>
      <c r="N45" s="268">
        <f t="shared" ref="N45:N48" si="8">SUM(B45:M45)</f>
        <v>10071.928880000001</v>
      </c>
    </row>
    <row r="46" spans="1:14" x14ac:dyDescent="0.25">
      <c r="A46" s="145" t="s">
        <v>299</v>
      </c>
      <c r="B46" s="267">
        <f>'Енергоресурси НП'!B45*Довідник!$C$119</f>
        <v>319.488</v>
      </c>
      <c r="C46" s="267">
        <f>'Енергоресурси НП'!C45*Довідник!$C$119</f>
        <v>377.06239999999997</v>
      </c>
      <c r="D46" s="267">
        <f>'Енергоресурси НП'!D45*Довідник!$C$119</f>
        <v>553.51296000000002</v>
      </c>
      <c r="E46" s="267">
        <f>'Енергоресурси НП'!E45*Довідник!$C$119</f>
        <v>602.78399999999999</v>
      </c>
      <c r="F46" s="267">
        <f>'Енергоресурси НП'!F45*Довідник!$C$119</f>
        <v>673.58720000000005</v>
      </c>
      <c r="G46" s="267">
        <f>'Енергоресурси НП'!G45*Довідник!$C$119</f>
        <v>670.9248</v>
      </c>
      <c r="H46" s="267">
        <f>'Енергоресурси НП'!H45*Довідник!$C$119</f>
        <v>702.87360000000001</v>
      </c>
      <c r="I46" s="267">
        <f>'Енергоресурси НП'!I45*Довідник!$C$119</f>
        <v>738.01728000000003</v>
      </c>
      <c r="J46" s="267">
        <f>'Енергоресурси НП'!J45*Довідник!$C$119</f>
        <v>686.64960000000008</v>
      </c>
      <c r="K46" s="267">
        <f>'Енергоресурси НП'!K45*Довідник!$C$119</f>
        <v>570.28607999999997</v>
      </c>
      <c r="L46" s="267">
        <f>'Енергоресурси НП'!L45*Довідник!$C$119</f>
        <v>575.07839999999999</v>
      </c>
      <c r="M46" s="267">
        <f>'Енергоресурси НП'!M45*Довідник!$C$119</f>
        <v>485.88799999999998</v>
      </c>
      <c r="N46" s="268">
        <f t="shared" si="8"/>
        <v>6956.1523200000001</v>
      </c>
    </row>
    <row r="47" spans="1:14" x14ac:dyDescent="0.25">
      <c r="A47" s="145" t="s">
        <v>300</v>
      </c>
      <c r="B47" s="267">
        <f>'Енергоресурси НП'!B46*Довідник!$D$119</f>
        <v>143.61600000000001</v>
      </c>
      <c r="C47" s="267">
        <f>'Енергоресурси НП'!C46*Довідник!$D$119</f>
        <v>169.49680000000001</v>
      </c>
      <c r="D47" s="267">
        <f>'Енергоресурси НП'!D46*Довідник!$D$119</f>
        <v>248.81472000000002</v>
      </c>
      <c r="E47" s="267">
        <f>'Енергоресурси НП'!E46*Довідник!$D$119</f>
        <v>270.96300000000002</v>
      </c>
      <c r="F47" s="267">
        <f>'Енергоресурси НП'!F46*Довідник!$D$119</f>
        <v>302.79040000000003</v>
      </c>
      <c r="G47" s="267">
        <f>'Енергоресурси НП'!G46*Довідник!$D$119</f>
        <v>301.59359999999998</v>
      </c>
      <c r="H47" s="267">
        <f>'Енергоресурси НП'!H46*Довідник!$D$119</f>
        <v>315.95519999999999</v>
      </c>
      <c r="I47" s="267">
        <f>'Енергоресурси НП'!I46*Довідник!$D$119</f>
        <v>331.75296000000003</v>
      </c>
      <c r="J47" s="267">
        <f>'Енергоресурси НП'!J46*Довідник!$D$119</f>
        <v>308.66220000000004</v>
      </c>
      <c r="K47" s="267">
        <f>'Енергоресурси НП'!K46*Довідник!$D$119</f>
        <v>256.35455999999999</v>
      </c>
      <c r="L47" s="267">
        <f>'Енергоресурси НП'!L46*Довідник!$D$119</f>
        <v>258.50880000000001</v>
      </c>
      <c r="M47" s="267">
        <f>'Енергоресурси НП'!M46*Довідник!$D$119</f>
        <v>218.416</v>
      </c>
      <c r="N47" s="268">
        <f t="shared" si="8"/>
        <v>3126.9242400000007</v>
      </c>
    </row>
    <row r="48" spans="1:14" ht="13.8" thickBot="1" x14ac:dyDescent="0.3">
      <c r="A48" s="145" t="s">
        <v>301</v>
      </c>
      <c r="B48" s="267">
        <f>'Енергоресурси НП'!B47*Довідник!$E$119</f>
        <v>175.20568375451265</v>
      </c>
      <c r="C48" s="267">
        <f>'Енергоресурси НП'!C47*Довідник!$E$119</f>
        <v>206.77920801444046</v>
      </c>
      <c r="D48" s="267">
        <f>'Енергоресурси НП'!D47*Довідник!$E$119</f>
        <v>303.54384710469321</v>
      </c>
      <c r="E48" s="267">
        <f>'Енергоресурси НП'!E47*Довідник!$E$119</f>
        <v>330.56384864620946</v>
      </c>
      <c r="F48" s="267">
        <f>'Енергоресурси НП'!F47*Довідник!$E$119</f>
        <v>369.39198324909756</v>
      </c>
      <c r="G48" s="267">
        <f>'Енергоресурси НП'!G47*Довідник!$E$119</f>
        <v>367.93193588447656</v>
      </c>
      <c r="H48" s="267">
        <f>'Енергоресурси НП'!H47*Довідник!$E$119</f>
        <v>385.45250425992782</v>
      </c>
      <c r="I48" s="267">
        <f>'Енергоресурси НП'!I47*Довідник!$E$119</f>
        <v>404.72512947292427</v>
      </c>
      <c r="J48" s="267">
        <f>'Енергоресурси НП'!J47*Довідник!$E$119</f>
        <v>376.55534063176901</v>
      </c>
      <c r="K48" s="267">
        <f>'Енергоресурси НП'!K47*Довідник!$E$119</f>
        <v>312.74214550180506</v>
      </c>
      <c r="L48" s="267">
        <f>'Енергоресурси НП'!L47*Довідник!$E$119</f>
        <v>315.37023075812283</v>
      </c>
      <c r="M48" s="267">
        <f>'Енергоресурси НП'!M47*Довідник!$E$119</f>
        <v>266.45864404332127</v>
      </c>
      <c r="N48" s="268">
        <f t="shared" si="8"/>
        <v>3814.7205013213006</v>
      </c>
    </row>
    <row r="49" spans="1:14" x14ac:dyDescent="0.25">
      <c r="A49" s="296" t="str">
        <f>A9</f>
        <v>Сир кисломолочний</v>
      </c>
      <c r="B49" s="297">
        <f>'Виробничий план'!B26</f>
        <v>0.51200000000000001</v>
      </c>
      <c r="C49" s="297">
        <f>'Виробничий план'!C26</f>
        <v>0.60426666666666662</v>
      </c>
      <c r="D49" s="297">
        <f>'Виробничий план'!D26</f>
        <v>0.88704000000000016</v>
      </c>
      <c r="E49" s="297">
        <f>'Виробничий план'!E26</f>
        <v>0.96600000000000008</v>
      </c>
      <c r="F49" s="297">
        <f>'Виробничий план'!F26</f>
        <v>1.0794666666666668</v>
      </c>
      <c r="G49" s="297">
        <f>'Виробничий план'!G26</f>
        <v>1.0751999999999999</v>
      </c>
      <c r="H49" s="297">
        <f>'Виробничий план'!H26</f>
        <v>1.1264000000000001</v>
      </c>
      <c r="I49" s="297">
        <f>'Виробничий план'!I26</f>
        <v>1.18272</v>
      </c>
      <c r="J49" s="297">
        <f>'Виробничий план'!J26</f>
        <v>1.1004</v>
      </c>
      <c r="K49" s="297">
        <f>'Виробничий план'!K26</f>
        <v>0.91391999999999995</v>
      </c>
      <c r="L49" s="297">
        <f>'Виробничий план'!L26</f>
        <v>0.92160000000000009</v>
      </c>
      <c r="M49" s="297">
        <f>'Виробничий план'!M26</f>
        <v>0.77866666666666662</v>
      </c>
      <c r="N49" s="298">
        <f>SUM(B49:M49)</f>
        <v>11.147679999999999</v>
      </c>
    </row>
    <row r="50" spans="1:14" x14ac:dyDescent="0.25">
      <c r="A50" s="145" t="s">
        <v>298</v>
      </c>
      <c r="B50" s="267">
        <f>'Енергоресурси НП'!B49*Довідник!$B$119</f>
        <v>347.03644444444444</v>
      </c>
      <c r="C50" s="267">
        <f>'Енергоресурси НП'!C49*Довідник!$B$119</f>
        <v>409.57530370370364</v>
      </c>
      <c r="D50" s="267">
        <f>'Енергоресурси НП'!D49*Довідник!$B$119</f>
        <v>601.24063999999998</v>
      </c>
      <c r="E50" s="267">
        <f>'Енергоресурси НП'!E49*Довідник!$B$119</f>
        <v>654.76016666666669</v>
      </c>
      <c r="F50" s="267">
        <f>'Енергоресурси НП'!F49*Довідник!$B$119</f>
        <v>731.66850370370366</v>
      </c>
      <c r="G50" s="267">
        <f>'Енергоресурси НП'!G49*Довідник!$B$119</f>
        <v>728.7765333333333</v>
      </c>
      <c r="H50" s="267">
        <f>'Енергоресурси НП'!H49*Довідник!$B$119</f>
        <v>763.48017777777773</v>
      </c>
      <c r="I50" s="267">
        <f>'Енергоресурси НП'!I49*Довідник!$B$119</f>
        <v>801.65418666666653</v>
      </c>
      <c r="J50" s="267">
        <f>'Енергоресурси НП'!J49*Довідник!$B$119</f>
        <v>745.85723333333328</v>
      </c>
      <c r="K50" s="267">
        <f>'Енергоресурси НП'!K49*Довідник!$B$119</f>
        <v>619.46005333333324</v>
      </c>
      <c r="L50" s="267">
        <f>'Енергоресурси НП'!L49*Довідник!$B$119</f>
        <v>624.66560000000004</v>
      </c>
      <c r="M50" s="267">
        <f>'Енергоресурси НП'!M49*Довідник!$B$119</f>
        <v>527.7845925925925</v>
      </c>
      <c r="N50" s="268">
        <f t="shared" ref="N50:N53" si="9">SUM(B50:M50)</f>
        <v>7555.9594355555546</v>
      </c>
    </row>
    <row r="51" spans="1:14" x14ac:dyDescent="0.25">
      <c r="A51" s="145" t="s">
        <v>299</v>
      </c>
      <c r="B51" s="267">
        <f>'Енергоресурси НП'!B50*Довідник!$C$119</f>
        <v>425.98400000000004</v>
      </c>
      <c r="C51" s="267">
        <f>'Енергоресурси НП'!C50*Довідник!$C$119</f>
        <v>502.74986666666661</v>
      </c>
      <c r="D51" s="267">
        <f>'Енергоресурси НП'!D50*Довідник!$C$119</f>
        <v>738.01728000000014</v>
      </c>
      <c r="E51" s="267">
        <f>'Енергоресурси НП'!E50*Довідник!$C$119</f>
        <v>803.7120000000001</v>
      </c>
      <c r="F51" s="267">
        <f>'Енергоресурси НП'!F50*Довідник!$C$119</f>
        <v>898.11626666666677</v>
      </c>
      <c r="G51" s="267">
        <f>'Енергоресурси НП'!G50*Довідник!$C$119</f>
        <v>894.56639999999993</v>
      </c>
      <c r="H51" s="267">
        <f>'Енергоресурси НП'!H50*Довідник!$C$119</f>
        <v>937.16480000000001</v>
      </c>
      <c r="I51" s="267">
        <f>'Енергоресурси НП'!I50*Довідник!$C$119</f>
        <v>984.02304000000004</v>
      </c>
      <c r="J51" s="267">
        <f>'Енергоресурси НП'!J50*Довідник!$C$119</f>
        <v>915.53280000000007</v>
      </c>
      <c r="K51" s="267">
        <f>'Енергоресурси НП'!K50*Довідник!$C$119</f>
        <v>760.38144</v>
      </c>
      <c r="L51" s="267">
        <f>'Енергоресурси НП'!L50*Довідник!$C$119</f>
        <v>766.77120000000002</v>
      </c>
      <c r="M51" s="267">
        <f>'Енергоресурси НП'!M50*Довідник!$C$119</f>
        <v>647.8506666666666</v>
      </c>
      <c r="N51" s="268">
        <f t="shared" si="9"/>
        <v>9274.8697599999996</v>
      </c>
    </row>
    <row r="52" spans="1:14" x14ac:dyDescent="0.25">
      <c r="A52" s="145" t="s">
        <v>300</v>
      </c>
      <c r="B52" s="267">
        <f>'Енергоресурси НП'!B51*Довідник!$D$119</f>
        <v>322.048</v>
      </c>
      <c r="C52" s="267">
        <f>'Енергоресурси НП'!C51*Довідник!$D$119</f>
        <v>380.08373333333333</v>
      </c>
      <c r="D52" s="267">
        <f>'Енергоресурси НП'!D51*Довідник!$D$119</f>
        <v>557.94816000000003</v>
      </c>
      <c r="E52" s="267">
        <f>'Енергоресурси НП'!E51*Довідник!$D$119</f>
        <v>607.61400000000003</v>
      </c>
      <c r="F52" s="267">
        <f>'Енергоресурси НП'!F51*Довідник!$D$119</f>
        <v>678.9845333333335</v>
      </c>
      <c r="G52" s="267">
        <f>'Енергоресурси НП'!G51*Довідник!$D$119</f>
        <v>676.30079999999998</v>
      </c>
      <c r="H52" s="267">
        <f>'Енергоресурси НП'!H51*Довідник!$D$119</f>
        <v>708.50559999999996</v>
      </c>
      <c r="I52" s="267">
        <f>'Енергоресурси НП'!I51*Довідник!$D$119</f>
        <v>743.93088</v>
      </c>
      <c r="J52" s="267">
        <f>'Енергоресурси НП'!J51*Довідник!$D$119</f>
        <v>692.15160000000003</v>
      </c>
      <c r="K52" s="267">
        <f>'Енергоресурси НП'!K51*Довідник!$D$119</f>
        <v>574.85567999999989</v>
      </c>
      <c r="L52" s="267">
        <f>'Енергоресурси НП'!L51*Довідник!$D$119</f>
        <v>579.68640000000005</v>
      </c>
      <c r="M52" s="267">
        <f>'Енергоресурси НП'!M51*Довідник!$D$119</f>
        <v>489.78133333333335</v>
      </c>
      <c r="N52" s="268">
        <f t="shared" si="9"/>
        <v>7011.8907200000003</v>
      </c>
    </row>
    <row r="53" spans="1:14" ht="13.8" thickBot="1" x14ac:dyDescent="0.3">
      <c r="A53" s="145" t="s">
        <v>301</v>
      </c>
      <c r="B53" s="267">
        <f>'Енергоресурси НП'!B52*Довідник!$E$119</f>
        <v>266.98008953068592</v>
      </c>
      <c r="C53" s="267">
        <f>'Енергоресурси НП'!C52*Довідник!$E$119</f>
        <v>315.09212649819494</v>
      </c>
      <c r="D53" s="267">
        <f>'Енергоресурси НП'!D52*Довідник!$E$119</f>
        <v>462.54300511191349</v>
      </c>
      <c r="E53" s="267">
        <f>'Енергоресурси НП'!E52*Довідник!$E$119</f>
        <v>503.71634079422381</v>
      </c>
      <c r="F53" s="267">
        <f>'Енергоресурси НП'!F52*Довідник!$E$119</f>
        <v>562.88302209386291</v>
      </c>
      <c r="G53" s="267">
        <f>'Енергоресурси НП'!G52*Довідник!$E$119</f>
        <v>560.65818801444038</v>
      </c>
      <c r="H53" s="267">
        <f>'Енергоресурси НП'!H52*Довідник!$E$119</f>
        <v>587.35619696750905</v>
      </c>
      <c r="I53" s="267">
        <f>'Енергоресурси НП'!I52*Довідник!$E$119</f>
        <v>616.72400681588442</v>
      </c>
      <c r="J53" s="267">
        <f>'Енергоресурси НП'!J52*Довідник!$E$119</f>
        <v>573.79861429602886</v>
      </c>
      <c r="K53" s="267">
        <f>'Енергоресурси НП'!K52*Довідник!$E$119</f>
        <v>476.55945981227438</v>
      </c>
      <c r="L53" s="267">
        <f>'Енергоресурси НП'!L52*Довідник!$E$119</f>
        <v>480.56416115523467</v>
      </c>
      <c r="M53" s="267">
        <f>'Енергоресурси НП'!M52*Довідник!$E$119</f>
        <v>406.03221949458481</v>
      </c>
      <c r="N53" s="268">
        <f t="shared" si="9"/>
        <v>5812.907430584838</v>
      </c>
    </row>
    <row r="54" spans="1:14" x14ac:dyDescent="0.25">
      <c r="A54" s="296" t="str">
        <f>A14</f>
        <v>Кефір</v>
      </c>
      <c r="B54" s="297">
        <f>'Виробничий план'!B28</f>
        <v>4.4737864077669895</v>
      </c>
      <c r="C54" s="297">
        <f>'Виробничий план'!C28</f>
        <v>5.28</v>
      </c>
      <c r="D54" s="297">
        <f>'Виробничий план'!D28</f>
        <v>7.7508349514563113</v>
      </c>
      <c r="E54" s="297">
        <f>'Виробничий план'!E28</f>
        <v>8.4407766990291258</v>
      </c>
      <c r="F54" s="297">
        <f>'Виробничий план'!F28</f>
        <v>9.432233009708737</v>
      </c>
      <c r="G54" s="297">
        <f>'Виробничий план'!G28</f>
        <v>9.3949514563106789</v>
      </c>
      <c r="H54" s="297">
        <f>'Виробничий план'!H28</f>
        <v>9.8423300970873768</v>
      </c>
      <c r="I54" s="297">
        <f>'Виробничий план'!I28</f>
        <v>10.33444660194175</v>
      </c>
      <c r="J54" s="297">
        <f>'Виробничий план'!J28</f>
        <v>9.6151456310679624</v>
      </c>
      <c r="K54" s="297">
        <f>'Виробничий план'!K28</f>
        <v>7.9857087378640772</v>
      </c>
      <c r="L54" s="297">
        <f>'Виробничий план'!L28</f>
        <v>8.0528155339805831</v>
      </c>
      <c r="M54" s="297">
        <f>'Виробничий план'!M28</f>
        <v>6.8038834951456302</v>
      </c>
      <c r="N54" s="298">
        <f>SUM(B54:M54)</f>
        <v>97.406912621359211</v>
      </c>
    </row>
    <row r="55" spans="1:14" x14ac:dyDescent="0.25">
      <c r="A55" s="145" t="s">
        <v>298</v>
      </c>
      <c r="B55" s="267">
        <f>'Енергоресурси НП'!B54*Довідник!$B$119</f>
        <v>1874.8271844660192</v>
      </c>
      <c r="C55" s="267">
        <f>'Енергоресурси НП'!C54*Довідник!$B$119</f>
        <v>2212.686666666667</v>
      </c>
      <c r="D55" s="267">
        <f>'Енергоресурси НП'!D54*Довідник!$B$119</f>
        <v>3248.1380970873788</v>
      </c>
      <c r="E55" s="267">
        <f>'Енергоресурси НП'!E54*Довідник!$B$119</f>
        <v>3537.2716019417471</v>
      </c>
      <c r="F55" s="267">
        <f>'Енергоресурси НП'!F54*Довідник!$B$119</f>
        <v>3952.7606472491902</v>
      </c>
      <c r="G55" s="267">
        <f>'Енергоресурси НП'!G54*Довідник!$B$119</f>
        <v>3937.13708737864</v>
      </c>
      <c r="H55" s="267">
        <f>'Енергоресурси НП'!H54*Довідник!$B$119</f>
        <v>4124.6198058252421</v>
      </c>
      <c r="I55" s="267">
        <f>'Енергоресурси НП'!I54*Довідник!$B$119</f>
        <v>4330.850796116506</v>
      </c>
      <c r="J55" s="267">
        <f>'Енергоресурси НП'!J54*Довідник!$B$119</f>
        <v>4029.4137378640785</v>
      </c>
      <c r="K55" s="267">
        <f>'Енергоресурси НП'!K54*Довідник!$B$119</f>
        <v>3346.5665242718442</v>
      </c>
      <c r="L55" s="267">
        <f>'Енергоресурси НП'!L54*Довідник!$B$119</f>
        <v>3374.688932038835</v>
      </c>
      <c r="M55" s="267">
        <f>'Енергоресурси НП'!M54*Довідник!$B$119</f>
        <v>2851.299676375404</v>
      </c>
      <c r="N55" s="268">
        <f t="shared" ref="N55:N58" si="10">SUM(B55:M55)</f>
        <v>40820.260757281554</v>
      </c>
    </row>
    <row r="56" spans="1:14" x14ac:dyDescent="0.25">
      <c r="A56" s="145" t="s">
        <v>299</v>
      </c>
      <c r="B56" s="267">
        <f>'Енергоресурси НП'!B55*Довідник!$C$119</f>
        <v>1017.7864077669902</v>
      </c>
      <c r="C56" s="267">
        <f>'Енергоресурси НП'!C55*Довідник!$C$119</f>
        <v>1201.2</v>
      </c>
      <c r="D56" s="267">
        <f>'Енергоресурси НП'!D55*Довідник!$C$119</f>
        <v>1763.3149514563108</v>
      </c>
      <c r="E56" s="267">
        <f>'Енергоресурси НП'!E55*Довідник!$C$119</f>
        <v>1920.2766990291261</v>
      </c>
      <c r="F56" s="267">
        <f>'Енергоресурси НП'!F55*Довідник!$C$119</f>
        <v>2145.8330097087378</v>
      </c>
      <c r="G56" s="267">
        <f>'Енергоресурси НП'!G55*Довідник!$C$119</f>
        <v>2137.3514563106796</v>
      </c>
      <c r="H56" s="267">
        <f>'Енергоресурси НП'!H55*Довідник!$C$119</f>
        <v>2239.1300970873781</v>
      </c>
      <c r="I56" s="267">
        <f>'Енергоресурси НП'!I55*Довідник!$C$119</f>
        <v>2351.0866019417481</v>
      </c>
      <c r="J56" s="267">
        <f>'Енергоресурси НП'!J55*Довідник!$C$119</f>
        <v>2187.4456310679616</v>
      </c>
      <c r="K56" s="267">
        <f>'Енергоресурси НП'!K55*Довідник!$C$119</f>
        <v>1816.7487378640774</v>
      </c>
      <c r="L56" s="267">
        <f>'Енергоресурси НП'!L55*Довідник!$C$119</f>
        <v>1832.0155339805829</v>
      </c>
      <c r="M56" s="267">
        <f>'Енергоресурси НП'!M55*Довідник!$C$119</f>
        <v>1547.8834951456308</v>
      </c>
      <c r="N56" s="268">
        <f t="shared" si="10"/>
        <v>22160.072621359221</v>
      </c>
    </row>
    <row r="57" spans="1:14" x14ac:dyDescent="0.25">
      <c r="A57" s="145" t="s">
        <v>300</v>
      </c>
      <c r="B57" s="267">
        <f>'Енергоресурси НП'!B56*Довідник!$D$119</f>
        <v>418.2990291262135</v>
      </c>
      <c r="C57" s="267">
        <f>'Енергоресурси НП'!C56*Довідник!$D$119</f>
        <v>493.68000000000006</v>
      </c>
      <c r="D57" s="267">
        <f>'Енергоресурси НП'!D56*Довідник!$D$119</f>
        <v>724.70306796116506</v>
      </c>
      <c r="E57" s="267">
        <f>'Енергоресурси НП'!E56*Довідник!$D$119</f>
        <v>789.21262135922325</v>
      </c>
      <c r="F57" s="267">
        <f>'Енергоресурси НП'!F56*Довідник!$D$119</f>
        <v>881.91378640776691</v>
      </c>
      <c r="G57" s="267">
        <f>'Енергоресурси НП'!G56*Довідник!$D$119</f>
        <v>878.42796116504849</v>
      </c>
      <c r="H57" s="267">
        <f>'Енергоресурси НП'!H56*Довідник!$D$119</f>
        <v>920.25786407766975</v>
      </c>
      <c r="I57" s="267">
        <f>'Енергоресурси НП'!I56*Довідник!$D$119</f>
        <v>966.27075728155364</v>
      </c>
      <c r="J57" s="267">
        <f>'Енергоресурси НП'!J56*Довідник!$D$119</f>
        <v>899.01611650485438</v>
      </c>
      <c r="K57" s="267">
        <f>'Енергоресурси НП'!K56*Довідник!$D$119</f>
        <v>746.66376699029115</v>
      </c>
      <c r="L57" s="267">
        <f>'Енергоресурси НП'!L56*Довідник!$D$119</f>
        <v>752.93825242718447</v>
      </c>
      <c r="M57" s="267">
        <f>'Енергоресурси НП'!M56*Довідник!$D$119</f>
        <v>636.16310679611649</v>
      </c>
      <c r="N57" s="268">
        <f t="shared" si="10"/>
        <v>9107.5463300970878</v>
      </c>
    </row>
    <row r="58" spans="1:14" ht="13.8" thickBot="1" x14ac:dyDescent="0.3">
      <c r="A58" s="145" t="s">
        <v>301</v>
      </c>
      <c r="B58" s="267">
        <f>'Енергоресурси НП'!B57*Довідник!$E$119</f>
        <v>1221.0937043917143</v>
      </c>
      <c r="C58" s="267">
        <f>'Енергоресурси НП'!C57*Довідник!$E$119</f>
        <v>1441.1449657039711</v>
      </c>
      <c r="D58" s="267">
        <f>'Енергоресурси НП'!D57*Довідник!$E$119</f>
        <v>2115.5448428586451</v>
      </c>
      <c r="E58" s="267">
        <f>'Енергоресурси НП'!E57*Довідник!$E$119</f>
        <v>2303.8603875828048</v>
      </c>
      <c r="F58" s="267">
        <f>'Енергоресурси НП'!F57*Довідник!$E$119</f>
        <v>2574.4725600925308</v>
      </c>
      <c r="G58" s="267">
        <f>'Енергоресурси НП'!G57*Довідник!$E$119</f>
        <v>2564.2967792226</v>
      </c>
      <c r="H58" s="267">
        <f>'Енергоресурси НП'!H57*Довідник!$E$119</f>
        <v>2686.406149661771</v>
      </c>
      <c r="I58" s="267">
        <f>'Енергоресурси НП'!I57*Довідник!$E$119</f>
        <v>2820.7264571448604</v>
      </c>
      <c r="J58" s="267">
        <f>'Енергоресурси НП'!J57*Довідник!$E$119</f>
        <v>2624.3974849856299</v>
      </c>
      <c r="K58" s="267">
        <f>'Енергоресурси НП'!K57*Довідник!$E$119</f>
        <v>2179.6522623392102</v>
      </c>
      <c r="L58" s="267">
        <f>'Енергоресурси НП'!L57*Довідник!$E$119</f>
        <v>2197.968667905086</v>
      </c>
      <c r="M58" s="267">
        <f>'Енергоресурси НП'!M57*Довідник!$E$119</f>
        <v>1857.0800087623986</v>
      </c>
      <c r="N58" s="268">
        <f t="shared" si="10"/>
        <v>26586.644270651221</v>
      </c>
    </row>
    <row r="59" spans="1:14" x14ac:dyDescent="0.25">
      <c r="A59" s="296" t="str">
        <f>A19</f>
        <v>Сметана</v>
      </c>
      <c r="B59" s="297">
        <f>'Виробничий план'!B30</f>
        <v>0.21942857142857145</v>
      </c>
      <c r="C59" s="297">
        <f>'Виробничий план'!C30</f>
        <v>0.25897142857142857</v>
      </c>
      <c r="D59" s="297">
        <f>'Виробничий план'!D30</f>
        <v>0.38016000000000005</v>
      </c>
      <c r="E59" s="297">
        <f>'Виробничий план'!E30</f>
        <v>0.41400000000000003</v>
      </c>
      <c r="F59" s="297">
        <f>'Виробничий план'!F30</f>
        <v>0.4626285714285715</v>
      </c>
      <c r="G59" s="297">
        <f>'Виробничий план'!G30</f>
        <v>0.46079999999999999</v>
      </c>
      <c r="H59" s="297">
        <f>'Виробничий план'!H30</f>
        <v>0.48274285714285714</v>
      </c>
      <c r="I59" s="297">
        <f>'Виробничий план'!I30</f>
        <v>0.50688</v>
      </c>
      <c r="J59" s="297">
        <f>'Виробничий план'!J30</f>
        <v>0.47160000000000002</v>
      </c>
      <c r="K59" s="297">
        <f>'Виробничий план'!K30</f>
        <v>0.39167999999999997</v>
      </c>
      <c r="L59" s="297">
        <f>'Виробничий план'!L30</f>
        <v>0.39497142857142858</v>
      </c>
      <c r="M59" s="297">
        <f>'Виробничий план'!M30</f>
        <v>0.33371428571428569</v>
      </c>
      <c r="N59" s="298">
        <f>SUM(B59:M59)</f>
        <v>4.777577142857143</v>
      </c>
    </row>
    <row r="60" spans="1:14" x14ac:dyDescent="0.25">
      <c r="A60" s="145" t="s">
        <v>298</v>
      </c>
      <c r="B60" s="267">
        <f>'Енергоресурси НП'!B59*Довідник!$B$119</f>
        <v>141.99466666666669</v>
      </c>
      <c r="C60" s="267">
        <f>'Енергоресурси НП'!C59*Довідник!$B$119</f>
        <v>167.58328888888889</v>
      </c>
      <c r="D60" s="267">
        <f>'Енергоресурси НП'!D59*Довідник!$B$119</f>
        <v>246.00576000000001</v>
      </c>
      <c r="E60" s="267">
        <f>'Енергоресурси НП'!E59*Довідник!$B$119</f>
        <v>267.904</v>
      </c>
      <c r="F60" s="267">
        <f>'Енергоресурси НП'!F59*Довідник!$B$119</f>
        <v>299.37208888888892</v>
      </c>
      <c r="G60" s="267">
        <f>'Енергоресурси НП'!G59*Довідник!$B$119</f>
        <v>298.18879999999996</v>
      </c>
      <c r="H60" s="267">
        <f>'Енергоресурси НП'!H59*Довідник!$B$119</f>
        <v>312.38826666666665</v>
      </c>
      <c r="I60" s="267">
        <f>'Енергоресурси НП'!I59*Довідник!$B$119</f>
        <v>328.00767999999999</v>
      </c>
      <c r="J60" s="267">
        <f>'Енергоресурси НП'!J59*Довідник!$B$119</f>
        <v>305.17759999999998</v>
      </c>
      <c r="K60" s="267">
        <f>'Енергоресурси НП'!K59*Довідник!$B$119</f>
        <v>253.46047999999999</v>
      </c>
      <c r="L60" s="267">
        <f>'Енергоресурси НП'!L59*Довідник!$B$119</f>
        <v>255.59040000000002</v>
      </c>
      <c r="M60" s="267">
        <f>'Енергоресурси НП'!M59*Довідник!$B$119</f>
        <v>215.95022222222221</v>
      </c>
      <c r="N60" s="268">
        <f t="shared" ref="N60:N63" si="11">SUM(B60:M60)</f>
        <v>3091.6232533333337</v>
      </c>
    </row>
    <row r="61" spans="1:14" x14ac:dyDescent="0.25">
      <c r="A61" s="145" t="s">
        <v>299</v>
      </c>
      <c r="B61" s="267">
        <f>'Енергоресурси НП'!B60*Довідник!$C$119</f>
        <v>242.46857142857144</v>
      </c>
      <c r="C61" s="267">
        <f>'Енергоресурси НП'!C60*Довідник!$C$119</f>
        <v>286.1634285714286</v>
      </c>
      <c r="D61" s="267">
        <f>'Енергоресурси НП'!D60*Довідник!$C$119</f>
        <v>420.07680000000011</v>
      </c>
      <c r="E61" s="267">
        <f>'Енергоресурси НП'!E60*Довідник!$C$119</f>
        <v>457.47000000000008</v>
      </c>
      <c r="F61" s="267">
        <f>'Енергоресурси НП'!F60*Довідник!$C$119</f>
        <v>511.20457142857151</v>
      </c>
      <c r="G61" s="267">
        <f>'Енергоресурси НП'!G60*Довідник!$C$119</f>
        <v>509.18399999999997</v>
      </c>
      <c r="H61" s="267">
        <f>'Енергоресурси НП'!H60*Довідник!$C$119</f>
        <v>533.43085714285712</v>
      </c>
      <c r="I61" s="267">
        <f>'Енергоресурси НП'!I60*Довідник!$C$119</f>
        <v>560.10239999999999</v>
      </c>
      <c r="J61" s="267">
        <f>'Енергоресурси НП'!J60*Довідник!$C$119</f>
        <v>521.11799999999994</v>
      </c>
      <c r="K61" s="267">
        <f>'Енергоресурси НП'!K60*Довідник!$C$119</f>
        <v>432.8064</v>
      </c>
      <c r="L61" s="267">
        <f>'Енергоресурси НП'!L60*Довідник!$C$119</f>
        <v>436.44342857142857</v>
      </c>
      <c r="M61" s="267">
        <f>'Енергоресурси НП'!M60*Довідник!$C$119</f>
        <v>368.75428571428569</v>
      </c>
      <c r="N61" s="268">
        <f t="shared" si="11"/>
        <v>5279.2227428571423</v>
      </c>
    </row>
    <row r="62" spans="1:14" x14ac:dyDescent="0.25">
      <c r="A62" s="145" t="s">
        <v>300</v>
      </c>
      <c r="B62" s="267">
        <f>'Енергоресурси НП'!B61*Довідник!$D$119</f>
        <v>145.48114285714288</v>
      </c>
      <c r="C62" s="267">
        <f>'Енергоресурси НП'!C61*Довідник!$D$119</f>
        <v>171.69805714285712</v>
      </c>
      <c r="D62" s="267">
        <f>'Енергоресурси НП'!D61*Довідник!$D$119</f>
        <v>252.04608000000005</v>
      </c>
      <c r="E62" s="267">
        <f>'Енергоресурси НП'!E61*Довідник!$D$119</f>
        <v>274.48200000000003</v>
      </c>
      <c r="F62" s="267">
        <f>'Енергоресурси НП'!F61*Довідник!$D$119</f>
        <v>306.72274285714292</v>
      </c>
      <c r="G62" s="267">
        <f>'Енергоресурси НП'!G61*Довідник!$D$119</f>
        <v>305.5104</v>
      </c>
      <c r="H62" s="267">
        <f>'Енергоресурси НП'!H61*Довідник!$D$119</f>
        <v>320.0585142857143</v>
      </c>
      <c r="I62" s="267">
        <f>'Енергоресурси НП'!I61*Довідник!$D$119</f>
        <v>336.06144</v>
      </c>
      <c r="J62" s="267">
        <f>'Енергоресурси НП'!J61*Довідник!$D$119</f>
        <v>312.67080000000004</v>
      </c>
      <c r="K62" s="267">
        <f>'Енергоресурси НП'!K61*Довідник!$D$119</f>
        <v>259.68383999999998</v>
      </c>
      <c r="L62" s="267">
        <f>'Енергоресурси НП'!L61*Довідник!$D$119</f>
        <v>261.86605714285713</v>
      </c>
      <c r="M62" s="267">
        <f>'Енергоресурси НП'!M61*Довідник!$D$119</f>
        <v>221.25257142857143</v>
      </c>
      <c r="N62" s="268">
        <f t="shared" si="11"/>
        <v>3167.5336457142862</v>
      </c>
    </row>
    <row r="63" spans="1:14" ht="13.8" thickBot="1" x14ac:dyDescent="0.3">
      <c r="A63" s="145" t="s">
        <v>301</v>
      </c>
      <c r="B63" s="267">
        <f>'Енергоресурси НП'!B62*Довідник!$E$119</f>
        <v>146.60067416193914</v>
      </c>
      <c r="C63" s="267">
        <f>'Енергоресурси НП'!C62*Довідник!$E$119</f>
        <v>173.01933731820526</v>
      </c>
      <c r="D63" s="267">
        <f>'Енергоресурси НП'!D62*Довідник!$E$119</f>
        <v>253.98566798555959</v>
      </c>
      <c r="E63" s="267">
        <f>'Енергоресурси НП'!E62*Довідник!$E$119</f>
        <v>276.59424070397114</v>
      </c>
      <c r="F63" s="267">
        <f>'Енергоресурси НП'!F62*Довідник!$E$119</f>
        <v>309.08308802475506</v>
      </c>
      <c r="G63" s="267">
        <f>'Енергоресурси НП'!G62*Довідник!$E$119</f>
        <v>307.86141574007218</v>
      </c>
      <c r="H63" s="267">
        <f>'Енергоресурси НП'!H62*Довідник!$E$119</f>
        <v>322.52148315626613</v>
      </c>
      <c r="I63" s="267">
        <f>'Енергоресурси НП'!I62*Довідник!$E$119</f>
        <v>338.64755731407939</v>
      </c>
      <c r="J63" s="267">
        <f>'Енергоресурси НП'!J62*Довідник!$E$119</f>
        <v>315.07691767148015</v>
      </c>
      <c r="K63" s="267">
        <f>'Енергоресурси НП'!K62*Довідник!$E$119</f>
        <v>261.68220337906132</v>
      </c>
      <c r="L63" s="267">
        <f>'Енергоресурси НП'!L62*Довідник!$E$119</f>
        <v>263.88121349149043</v>
      </c>
      <c r="M63" s="267">
        <f>'Енергоресурси НП'!M62*Довідник!$E$119</f>
        <v>222.95519195461577</v>
      </c>
      <c r="N63" s="268">
        <f t="shared" si="11"/>
        <v>3191.9089909014956</v>
      </c>
    </row>
    <row r="64" spans="1:14" x14ac:dyDescent="0.25">
      <c r="A64" s="296" t="str">
        <f>A24</f>
        <v>Сир м'який</v>
      </c>
      <c r="B64" s="297">
        <f>'Виробничий план'!B32</f>
        <v>0.7679999999999999</v>
      </c>
      <c r="C64" s="297">
        <f>'Виробничий план'!C32</f>
        <v>0.90640000000000009</v>
      </c>
      <c r="D64" s="297">
        <f>'Виробничий план'!D32</f>
        <v>1.3305600000000002</v>
      </c>
      <c r="E64" s="297">
        <f>'Виробничий план'!E32</f>
        <v>1.4489999999999998</v>
      </c>
      <c r="F64" s="297">
        <f>'Виробничий план'!F32</f>
        <v>1.6192</v>
      </c>
      <c r="G64" s="297">
        <f>'Виробничий план'!G32</f>
        <v>1.6128</v>
      </c>
      <c r="H64" s="297">
        <f>'Виробничий план'!H32</f>
        <v>1.6895999999999998</v>
      </c>
      <c r="I64" s="297">
        <f>'Виробничий план'!I32</f>
        <v>1.7740800000000003</v>
      </c>
      <c r="J64" s="297">
        <f>'Виробничий план'!J32</f>
        <v>1.6506000000000001</v>
      </c>
      <c r="K64" s="297">
        <f>'Виробничий план'!K32</f>
        <v>1.3708799999999999</v>
      </c>
      <c r="L64" s="297">
        <f>'Виробничий план'!L32</f>
        <v>1.3824000000000003</v>
      </c>
      <c r="M64" s="297">
        <f>'Виробничий план'!M32</f>
        <v>1.1679999999999999</v>
      </c>
      <c r="N64" s="298">
        <f t="shared" ref="N64:N73" si="12">SUM(B64:M64)</f>
        <v>16.721520000000002</v>
      </c>
    </row>
    <row r="65" spans="1:14" x14ac:dyDescent="0.25">
      <c r="A65" s="145" t="s">
        <v>298</v>
      </c>
      <c r="B65" s="267">
        <f>'Енергоресурси НП'!B64*Довідник!$B$119</f>
        <v>993.82399999999984</v>
      </c>
      <c r="C65" s="267">
        <f>'Енергоресурси НП'!C64*Довідник!$B$119</f>
        <v>1172.919366666667</v>
      </c>
      <c r="D65" s="267">
        <f>'Енергоресурси НП'!D64*Довідник!$B$119</f>
        <v>1721.8000800000004</v>
      </c>
      <c r="E65" s="267">
        <f>'Енергоресурси НП'!E64*Довідник!$B$119</f>
        <v>1875.0663749999999</v>
      </c>
      <c r="F65" s="267">
        <f>'Енергоресурси НП'!F64*Довідник!$B$119</f>
        <v>2095.3122666666668</v>
      </c>
      <c r="G65" s="267">
        <f>'Енергоресурси НП'!G64*Довідник!$B$119</f>
        <v>2087.0304000000001</v>
      </c>
      <c r="H65" s="267">
        <f>'Енергоресурси НП'!H64*Довідник!$B$119</f>
        <v>2186.4128000000001</v>
      </c>
      <c r="I65" s="267">
        <f>'Енергоресурси НП'!I64*Довідник!$B$119</f>
        <v>2295.7334400000004</v>
      </c>
      <c r="J65" s="267">
        <f>'Енергоресурси НП'!J64*Довідник!$B$119</f>
        <v>2135.9451750000003</v>
      </c>
      <c r="K65" s="267">
        <f>'Енергоресурси НП'!K64*Довідник!$B$119</f>
        <v>1773.9758400000001</v>
      </c>
      <c r="L65" s="267">
        <f>'Енергоресурси НП'!L64*Довідник!$B$119</f>
        <v>1788.8832000000007</v>
      </c>
      <c r="M65" s="267">
        <f>'Енергоресурси НП'!M64*Довідник!$B$119</f>
        <v>1511.4406666666666</v>
      </c>
      <c r="N65" s="268">
        <f t="shared" si="12"/>
        <v>21638.34361</v>
      </c>
    </row>
    <row r="66" spans="1:14" x14ac:dyDescent="0.25">
      <c r="A66" s="145" t="s">
        <v>299</v>
      </c>
      <c r="B66" s="267">
        <f>'Енергоресурси НП'!B65*Довідник!$C$119</f>
        <v>898.55999999999983</v>
      </c>
      <c r="C66" s="267">
        <f>'Енергоресурси НП'!C65*Довідник!$C$119</f>
        <v>1060.4880000000001</v>
      </c>
      <c r="D66" s="267">
        <f>'Енергоресурси НП'!D65*Довідник!$C$119</f>
        <v>1556.7552000000001</v>
      </c>
      <c r="E66" s="267">
        <f>'Енергоресурси НП'!E65*Довідник!$C$119</f>
        <v>1695.33</v>
      </c>
      <c r="F66" s="267">
        <f>'Енергоресурси НП'!F65*Довідник!$C$119</f>
        <v>1894.4640000000002</v>
      </c>
      <c r="G66" s="267">
        <f>'Енергоресурси НП'!G65*Довідник!$C$119</f>
        <v>1886.9759999999999</v>
      </c>
      <c r="H66" s="267">
        <f>'Енергоресурси НП'!H65*Довідник!$C$119</f>
        <v>1976.8319999999999</v>
      </c>
      <c r="I66" s="267">
        <f>'Енергоресурси НП'!I65*Довідник!$C$119</f>
        <v>2075.6736000000005</v>
      </c>
      <c r="J66" s="267">
        <f>'Енергоресурси НП'!J65*Довідник!$C$119</f>
        <v>1931.202</v>
      </c>
      <c r="K66" s="267">
        <f>'Енергоресурси НП'!K65*Довідник!$C$119</f>
        <v>1603.9295999999997</v>
      </c>
      <c r="L66" s="267">
        <f>'Енергоресурси НП'!L65*Довідник!$C$119</f>
        <v>1617.4080000000004</v>
      </c>
      <c r="M66" s="267">
        <f>'Енергоресурси НП'!M65*Довідник!$C$119</f>
        <v>1366.56</v>
      </c>
      <c r="N66" s="268">
        <f t="shared" si="12"/>
        <v>19564.178400000001</v>
      </c>
    </row>
    <row r="67" spans="1:14" x14ac:dyDescent="0.25">
      <c r="A67" s="145" t="s">
        <v>300</v>
      </c>
      <c r="B67" s="267">
        <f>'Енергоресурси НП'!B66*Довідник!$D$119</f>
        <v>783.3599999999999</v>
      </c>
      <c r="C67" s="267">
        <f>'Енергоресурси НП'!C66*Довідник!$D$119</f>
        <v>924.52800000000013</v>
      </c>
      <c r="D67" s="267">
        <f>'Енергоресурси НП'!D66*Довідник!$D$119</f>
        <v>1357.1712000000002</v>
      </c>
      <c r="E67" s="267">
        <f>'Енергоресурси НП'!E66*Довідник!$D$119</f>
        <v>1477.98</v>
      </c>
      <c r="F67" s="267">
        <f>'Енергоресурси НП'!F66*Довідник!$D$119</f>
        <v>1651.5840000000001</v>
      </c>
      <c r="G67" s="267">
        <f>'Енергоресурси НП'!G66*Довідник!$D$119</f>
        <v>1645.056</v>
      </c>
      <c r="H67" s="267">
        <f>'Енергоресурси НП'!H66*Довідник!$D$119</f>
        <v>1723.3919999999998</v>
      </c>
      <c r="I67" s="267">
        <f>'Енергоресурси НП'!I66*Довідник!$D$119</f>
        <v>1809.5616000000002</v>
      </c>
      <c r="J67" s="267">
        <f>'Енергоресурси НП'!J66*Довідник!$D$119</f>
        <v>1683.6120000000001</v>
      </c>
      <c r="K67" s="267">
        <f>'Енергоресурси НП'!K66*Довідник!$D$119</f>
        <v>1398.2975999999999</v>
      </c>
      <c r="L67" s="267">
        <f>'Енергоресурси НП'!L66*Довідник!$D$119</f>
        <v>1410.0480000000002</v>
      </c>
      <c r="M67" s="267">
        <f>'Енергоресурси НП'!M66*Довідник!$D$119</f>
        <v>1191.3599999999999</v>
      </c>
      <c r="N67" s="268">
        <f t="shared" si="12"/>
        <v>17055.950400000002</v>
      </c>
    </row>
    <row r="68" spans="1:14" ht="13.8" thickBot="1" x14ac:dyDescent="0.3">
      <c r="A68" s="145" t="s">
        <v>301</v>
      </c>
      <c r="B68" s="267">
        <f>'Енергоресурси НП'!B67*Довідник!$E$119</f>
        <v>2815.8056317689525</v>
      </c>
      <c r="C68" s="267">
        <f>'Енергоресурси НП'!C67*Довідник!$E$119</f>
        <v>3323.2372716606501</v>
      </c>
      <c r="D68" s="267">
        <f>'Енергоресурси НП'!D67*Довідник!$E$119</f>
        <v>4878.3832570397117</v>
      </c>
      <c r="E68" s="267">
        <f>'Енергоресурси НП'!E67*Довідник!$E$119</f>
        <v>5312.6332818140791</v>
      </c>
      <c r="F68" s="267">
        <f>'Енергоресурси НП'!F67*Довідник!$E$119</f>
        <v>5936.6568736462086</v>
      </c>
      <c r="G68" s="267">
        <f>'Енергоресурси НП'!G67*Довідник!$E$119</f>
        <v>5913.1918267148012</v>
      </c>
      <c r="H68" s="267">
        <f>'Енергоресурси НП'!H67*Довідник!$E$119</f>
        <v>6194.7723898916956</v>
      </c>
      <c r="I68" s="267">
        <f>'Енергоресурси НП'!I67*Довідник!$E$119</f>
        <v>6504.5110093862822</v>
      </c>
      <c r="J68" s="267">
        <f>'Енергоресурси НП'!J67*Довідник!$E$119</f>
        <v>6051.7822601534299</v>
      </c>
      <c r="K68" s="267">
        <f>'Енергоресурси НП'!K67*Довідник!$E$119</f>
        <v>5026.2130527075806</v>
      </c>
      <c r="L68" s="267">
        <f>'Енергоресурси НП'!L67*Довідник!$E$119</f>
        <v>5068.450137184117</v>
      </c>
      <c r="M68" s="267">
        <f>'Енергоресурси НП'!M67*Довідник!$E$119</f>
        <v>4282.3710649819486</v>
      </c>
      <c r="N68" s="268">
        <f t="shared" si="12"/>
        <v>61308.008056949453</v>
      </c>
    </row>
    <row r="69" spans="1:14" x14ac:dyDescent="0.25">
      <c r="A69" s="296" t="str">
        <f>A29</f>
        <v>Сир Рікотта</v>
      </c>
      <c r="B69" s="297">
        <f>'Виробничий план'!B34</f>
        <v>0.23552355062413322</v>
      </c>
      <c r="C69" s="297">
        <f>'Виробничий план'!C34</f>
        <v>0.27796685714285724</v>
      </c>
      <c r="D69" s="297">
        <f>'Виробничий план'!D34</f>
        <v>0.4080445514563108</v>
      </c>
      <c r="E69" s="297">
        <f>'Виробничий план'!E34</f>
        <v>0.44436669902912618</v>
      </c>
      <c r="F69" s="297">
        <f>'Виробничий план'!F34</f>
        <v>0.49656215256588071</v>
      </c>
      <c r="G69" s="297">
        <f>'Виробничий план'!G34</f>
        <v>0.4945994563106797</v>
      </c>
      <c r="H69" s="297">
        <f>'Виробничий план'!H34</f>
        <v>0.51815181137309307</v>
      </c>
      <c r="I69" s="297">
        <f>'Виробничий план'!I34</f>
        <v>0.54405940194174762</v>
      </c>
      <c r="J69" s="297">
        <f>'Виробничий план'!J34</f>
        <v>0.50619163106796117</v>
      </c>
      <c r="K69" s="297">
        <f>'Виробничий план'!K34</f>
        <v>0.42040953786407775</v>
      </c>
      <c r="L69" s="297">
        <f>'Виробничий план'!L34</f>
        <v>0.42394239112343962</v>
      </c>
      <c r="M69" s="297">
        <f>'Виробничий план'!M34</f>
        <v>0.35819206657420261</v>
      </c>
      <c r="N69" s="298">
        <f t="shared" si="12"/>
        <v>5.1280101070735098</v>
      </c>
    </row>
    <row r="70" spans="1:14" x14ac:dyDescent="0.25">
      <c r="A70" s="145" t="s">
        <v>298</v>
      </c>
      <c r="B70" s="267">
        <f>'Енергоресурси НП'!B69*Довідник!$B$119</f>
        <v>304.77728798890439</v>
      </c>
      <c r="C70" s="267">
        <f>'Енергоресурси НП'!C69*Довідник!$B$119</f>
        <v>359.70069509523825</v>
      </c>
      <c r="D70" s="267">
        <f>'Енергоресурси НП'!D69*Довідник!$B$119</f>
        <v>528.02665144077685</v>
      </c>
      <c r="E70" s="267">
        <f>'Енергоресурси НП'!E69*Довідник!$B$119</f>
        <v>575.02902382281547</v>
      </c>
      <c r="F70" s="267">
        <f>'Енергоресурси НП'!F69*Довідник!$B$119</f>
        <v>642.57211550993998</v>
      </c>
      <c r="G70" s="267">
        <f>'Енергоресурси НП'!G69*Довідник!$B$119</f>
        <v>640.03230477669922</v>
      </c>
      <c r="H70" s="267">
        <f>'Енергоресурси НП'!H69*Довідник!$B$119</f>
        <v>670.51003357558966</v>
      </c>
      <c r="I70" s="267">
        <f>'Енергоресурси НП'!I69*Довідник!$B$119</f>
        <v>704.03553525436905</v>
      </c>
      <c r="J70" s="267">
        <f>'Енергоресурси НП'!J69*Довідник!$B$119</f>
        <v>655.03306191990293</v>
      </c>
      <c r="K70" s="267">
        <f>'Енергоресурси НП'!K69*Довідник!$B$119</f>
        <v>544.02745906019436</v>
      </c>
      <c r="L70" s="267">
        <f>'Енергоресурси НП'!L69*Довідник!$B$119</f>
        <v>548.59911838002779</v>
      </c>
      <c r="M70" s="267">
        <f>'Енергоресурси НП'!M69*Довідник!$B$119</f>
        <v>463.51545881645876</v>
      </c>
      <c r="N70" s="268">
        <f t="shared" si="12"/>
        <v>6635.8587456409159</v>
      </c>
    </row>
    <row r="71" spans="1:14" x14ac:dyDescent="0.25">
      <c r="A71" s="145" t="s">
        <v>299</v>
      </c>
      <c r="B71" s="267">
        <f>'Енергоресурси НП'!B70*Довідник!$C$119</f>
        <v>275.56255423023589</v>
      </c>
      <c r="C71" s="267">
        <f>'Енергоресурси НП'!C70*Довідник!$C$119</f>
        <v>325.221222857143</v>
      </c>
      <c r="D71" s="267">
        <f>'Енергоресурси НП'!D70*Довідник!$C$119</f>
        <v>477.41212520388365</v>
      </c>
      <c r="E71" s="267">
        <f>'Енергоресурси НП'!E70*Довідник!$C$119</f>
        <v>519.90903786407762</v>
      </c>
      <c r="F71" s="267">
        <f>'Енергоресурси НП'!F70*Довідник!$C$119</f>
        <v>580.97771850208051</v>
      </c>
      <c r="G71" s="267">
        <f>'Енергоресурси НП'!G70*Довідник!$C$119</f>
        <v>578.68136388349524</v>
      </c>
      <c r="H71" s="267">
        <f>'Енергоресурси НП'!H70*Довідник!$C$119</f>
        <v>606.23761930651892</v>
      </c>
      <c r="I71" s="267">
        <f>'Енергоресурси НП'!I70*Довідник!$C$119</f>
        <v>636.54950027184475</v>
      </c>
      <c r="J71" s="267">
        <f>'Енергоресурси НП'!J70*Довідник!$C$119</f>
        <v>592.24420834951457</v>
      </c>
      <c r="K71" s="267">
        <f>'Енергоресурси НП'!K70*Довідник!$C$119</f>
        <v>491.87915930097097</v>
      </c>
      <c r="L71" s="267">
        <f>'Енергоресурси НП'!L70*Довідник!$C$119</f>
        <v>496.01259761442435</v>
      </c>
      <c r="M71" s="267">
        <f>'Енергоресурси НП'!M70*Довідник!$C$119</f>
        <v>419.08471789181704</v>
      </c>
      <c r="N71" s="268">
        <f t="shared" si="12"/>
        <v>5999.771825276006</v>
      </c>
    </row>
    <row r="72" spans="1:14" x14ac:dyDescent="0.25">
      <c r="A72" s="145" t="s">
        <v>300</v>
      </c>
      <c r="B72" s="267">
        <f>'Енергоресурси НП'!B71*Довідник!$D$119</f>
        <v>40.039003606102639</v>
      </c>
      <c r="C72" s="267">
        <f>'Енергоресурси НП'!C71*Довідник!$D$119</f>
        <v>47.254365714285733</v>
      </c>
      <c r="D72" s="267">
        <f>'Енергоресурси НП'!D71*Довідник!$D$119</f>
        <v>69.367573747572834</v>
      </c>
      <c r="E72" s="267">
        <f>'Енергоресурси НП'!E71*Довідник!$D$119</f>
        <v>75.542338834951451</v>
      </c>
      <c r="F72" s="267">
        <f>'Енергоресурси НП'!F71*Довідник!$D$119</f>
        <v>84.415565936199712</v>
      </c>
      <c r="G72" s="267">
        <f>'Енергоресурси НП'!G71*Довідник!$D$119</f>
        <v>84.081907572815552</v>
      </c>
      <c r="H72" s="267">
        <f>'Енергоресурси НП'!H71*Довідник!$D$119</f>
        <v>88.085807933425826</v>
      </c>
      <c r="I72" s="267">
        <f>'Енергоресурси НП'!I71*Довідник!$D$119</f>
        <v>92.490098330097098</v>
      </c>
      <c r="J72" s="267">
        <f>'Енергоресурси НП'!J71*Довідник!$D$119</f>
        <v>86.052577281553397</v>
      </c>
      <c r="K72" s="267">
        <f>'Енергоресурси НП'!K71*Довідник!$D$119</f>
        <v>71.46962143689322</v>
      </c>
      <c r="L72" s="267">
        <f>'Енергоресурси НП'!L71*Довідник!$D$119</f>
        <v>72.070206490984731</v>
      </c>
      <c r="M72" s="267">
        <f>'Енергоресурси НП'!M71*Довідник!$D$119</f>
        <v>60.892651317614444</v>
      </c>
      <c r="N72" s="268">
        <f t="shared" si="12"/>
        <v>871.76171820249658</v>
      </c>
    </row>
    <row r="73" spans="1:14" ht="13.8" thickBot="1" x14ac:dyDescent="0.3">
      <c r="A73" s="145" t="s">
        <v>301</v>
      </c>
      <c r="B73" s="267">
        <f>'Енергоресурси НП'!B72*Довідник!$E$119</f>
        <v>479.73708062909026</v>
      </c>
      <c r="C73" s="267">
        <f>'Енергоресурси НП'!C72*Довідник!$E$119</f>
        <v>566.1897003674577</v>
      </c>
      <c r="D73" s="267">
        <f>'Енергоресурси НП'!D72*Довідник!$E$119</f>
        <v>831.14449218989887</v>
      </c>
      <c r="E73" s="267">
        <f>'Енергоресурси НП'!E72*Довідник!$E$119</f>
        <v>905.12894509316607</v>
      </c>
      <c r="F73" s="267">
        <f>'Енергоресурси НП'!F72*Довідник!$E$119</f>
        <v>1011.4456783263316</v>
      </c>
      <c r="G73" s="267">
        <f>'Енергоресурси НП'!G72*Довідник!$E$119</f>
        <v>1007.4478693210896</v>
      </c>
      <c r="H73" s="267">
        <f>'Енергоресурси НП'!H72*Довідник!$E$119</f>
        <v>1055.4215773839987</v>
      </c>
      <c r="I73" s="267">
        <f>'Енергоресурси НП'!I72*Довідник!$E$119</f>
        <v>1108.1926562531985</v>
      </c>
      <c r="J73" s="267">
        <f>'Енергоресурси НП'!J72*Довідник!$E$119</f>
        <v>1031.0599287583025</v>
      </c>
      <c r="K73" s="267">
        <f>'Енергоресурси НП'!K72*Довідник!$E$119</f>
        <v>856.33068892292624</v>
      </c>
      <c r="L73" s="267">
        <f>'Енергоресурси НП'!L72*Довідник!$E$119</f>
        <v>863.52674513236207</v>
      </c>
      <c r="M73" s="267">
        <f>'Енергоресурси НП'!M72*Довідник!$E$119</f>
        <v>729.60014345674153</v>
      </c>
      <c r="N73" s="268">
        <f t="shared" si="12"/>
        <v>10445.225505834565</v>
      </c>
    </row>
    <row r="74" spans="1:14" ht="24.6" thickBot="1" x14ac:dyDescent="0.3">
      <c r="A74" s="273" t="s">
        <v>302</v>
      </c>
      <c r="B74" s="274">
        <f>B45+B50+B55+B60+B65+B70</f>
        <v>4125.0515835660344</v>
      </c>
      <c r="C74" s="274">
        <f t="shared" ref="C74:N74" si="13">C45+C50+C55+C60+C65+C70</f>
        <v>4868.420254354498</v>
      </c>
      <c r="D74" s="274">
        <f t="shared" si="13"/>
        <v>7146.6518685281562</v>
      </c>
      <c r="E74" s="274">
        <f t="shared" si="13"/>
        <v>7782.8121674312297</v>
      </c>
      <c r="F74" s="274">
        <f t="shared" si="13"/>
        <v>8696.9837553517245</v>
      </c>
      <c r="G74" s="274">
        <f t="shared" si="13"/>
        <v>8662.6083254886726</v>
      </c>
      <c r="H74" s="274">
        <f t="shared" si="13"/>
        <v>9075.1134838452745</v>
      </c>
      <c r="I74" s="274">
        <f t="shared" si="13"/>
        <v>9528.8691580375416</v>
      </c>
      <c r="J74" s="274">
        <f t="shared" si="13"/>
        <v>8865.6382081173142</v>
      </c>
      <c r="K74" s="274">
        <f t="shared" si="13"/>
        <v>7363.2170766653708</v>
      </c>
      <c r="L74" s="274">
        <f t="shared" si="13"/>
        <v>7425.0928504188641</v>
      </c>
      <c r="M74" s="274">
        <f t="shared" si="13"/>
        <v>6273.5159500066766</v>
      </c>
      <c r="N74" s="275">
        <f t="shared" si="13"/>
        <v>89813.974681811364</v>
      </c>
    </row>
    <row r="75" spans="1:14" ht="24.6" thickBot="1" x14ac:dyDescent="0.3">
      <c r="A75" s="273" t="s">
        <v>303</v>
      </c>
      <c r="B75" s="274">
        <f t="shared" ref="B75:N77" si="14">B46+B51+B56+B61+B66+B71</f>
        <v>3179.8495334257977</v>
      </c>
      <c r="C75" s="274">
        <f t="shared" si="14"/>
        <v>3752.8849180952379</v>
      </c>
      <c r="D75" s="274">
        <f t="shared" si="14"/>
        <v>5509.0893166601954</v>
      </c>
      <c r="E75" s="274">
        <f t="shared" si="14"/>
        <v>5999.4817368932036</v>
      </c>
      <c r="F75" s="274">
        <f t="shared" si="14"/>
        <v>6704.1827663060567</v>
      </c>
      <c r="G75" s="274">
        <f t="shared" si="14"/>
        <v>6677.684020194175</v>
      </c>
      <c r="H75" s="274">
        <f t="shared" si="14"/>
        <v>6995.6689735367545</v>
      </c>
      <c r="I75" s="274">
        <f t="shared" si="14"/>
        <v>7345.4524222135924</v>
      </c>
      <c r="J75" s="274">
        <f t="shared" si="14"/>
        <v>6834.1922394174762</v>
      </c>
      <c r="K75" s="274">
        <f t="shared" si="14"/>
        <v>5676.031417165048</v>
      </c>
      <c r="L75" s="274">
        <f t="shared" si="14"/>
        <v>5723.7291601664365</v>
      </c>
      <c r="M75" s="274">
        <f t="shared" si="14"/>
        <v>4836.0211654184004</v>
      </c>
      <c r="N75" s="275">
        <f t="shared" si="14"/>
        <v>69234.267669492372</v>
      </c>
    </row>
    <row r="76" spans="1:14" ht="24.6" thickBot="1" x14ac:dyDescent="0.3">
      <c r="A76" s="273" t="s">
        <v>304</v>
      </c>
      <c r="B76" s="274">
        <f t="shared" si="14"/>
        <v>1852.843175589459</v>
      </c>
      <c r="C76" s="274">
        <f t="shared" si="14"/>
        <v>2186.740956190476</v>
      </c>
      <c r="D76" s="274">
        <f t="shared" si="14"/>
        <v>3210.0508017087382</v>
      </c>
      <c r="E76" s="274">
        <f t="shared" si="14"/>
        <v>3495.7939601941748</v>
      </c>
      <c r="F76" s="274">
        <f t="shared" si="14"/>
        <v>3906.4110285344432</v>
      </c>
      <c r="G76" s="274">
        <f t="shared" si="14"/>
        <v>3890.9706687378639</v>
      </c>
      <c r="H76" s="274">
        <f t="shared" si="14"/>
        <v>4076.2549862968094</v>
      </c>
      <c r="I76" s="274">
        <f t="shared" si="14"/>
        <v>4280.0677356116512</v>
      </c>
      <c r="J76" s="274">
        <f t="shared" si="14"/>
        <v>3982.1652937864083</v>
      </c>
      <c r="K76" s="274">
        <f t="shared" si="14"/>
        <v>3307.3250684271843</v>
      </c>
      <c r="L76" s="274">
        <f t="shared" si="14"/>
        <v>3335.1177160610268</v>
      </c>
      <c r="M76" s="274">
        <f t="shared" si="14"/>
        <v>2817.8656628756353</v>
      </c>
      <c r="N76" s="275">
        <f t="shared" si="14"/>
        <v>40341.607054013875</v>
      </c>
    </row>
    <row r="77" spans="1:14" ht="24.6" thickBot="1" x14ac:dyDescent="0.3">
      <c r="A77" s="299" t="s">
        <v>305</v>
      </c>
      <c r="B77" s="300">
        <f t="shared" si="14"/>
        <v>5105.4228642368944</v>
      </c>
      <c r="C77" s="300">
        <f t="shared" si="14"/>
        <v>6025.4626095629192</v>
      </c>
      <c r="D77" s="300">
        <f t="shared" si="14"/>
        <v>8845.1451122904218</v>
      </c>
      <c r="E77" s="300">
        <f t="shared" si="14"/>
        <v>9632.4970446344541</v>
      </c>
      <c r="F77" s="300">
        <f t="shared" si="14"/>
        <v>10763.933205432788</v>
      </c>
      <c r="G77" s="300">
        <f t="shared" si="14"/>
        <v>10721.38801489748</v>
      </c>
      <c r="H77" s="300">
        <f t="shared" si="14"/>
        <v>11231.930301321168</v>
      </c>
      <c r="I77" s="300">
        <f t="shared" si="14"/>
        <v>11793.52681638723</v>
      </c>
      <c r="J77" s="300">
        <f t="shared" si="14"/>
        <v>10972.67054649664</v>
      </c>
      <c r="K77" s="300">
        <f t="shared" si="14"/>
        <v>9113.1798126628582</v>
      </c>
      <c r="L77" s="300">
        <f t="shared" si="14"/>
        <v>9189.7611556264128</v>
      </c>
      <c r="M77" s="300">
        <f t="shared" si="14"/>
        <v>7764.4972726936103</v>
      </c>
      <c r="N77" s="301">
        <f t="shared" si="14"/>
        <v>111159.41475624287</v>
      </c>
    </row>
    <row r="78" spans="1:14" ht="13.8" thickBot="1" x14ac:dyDescent="0.3">
      <c r="A78" s="302" t="s">
        <v>306</v>
      </c>
      <c r="B78" s="303">
        <f>B74+B75+B76+B77</f>
        <v>14263.167156818185</v>
      </c>
      <c r="C78" s="303">
        <f t="shared" ref="C78:N78" si="15">C74+C75+C76+C77</f>
        <v>16833.508738203134</v>
      </c>
      <c r="D78" s="303">
        <f t="shared" si="15"/>
        <v>24710.937099187511</v>
      </c>
      <c r="E78" s="303">
        <f t="shared" si="15"/>
        <v>26910.584909153062</v>
      </c>
      <c r="F78" s="303">
        <f t="shared" si="15"/>
        <v>30071.510755625015</v>
      </c>
      <c r="G78" s="303">
        <f t="shared" si="15"/>
        <v>29952.651029318193</v>
      </c>
      <c r="H78" s="303">
        <f t="shared" si="15"/>
        <v>31378.967745000005</v>
      </c>
      <c r="I78" s="303">
        <f t="shared" si="15"/>
        <v>32947.916132250015</v>
      </c>
      <c r="J78" s="303">
        <f t="shared" si="15"/>
        <v>30654.666287817839</v>
      </c>
      <c r="K78" s="303">
        <f t="shared" si="15"/>
        <v>25459.753374920459</v>
      </c>
      <c r="L78" s="303">
        <f t="shared" si="15"/>
        <v>25673.70088227274</v>
      </c>
      <c r="M78" s="303">
        <f t="shared" si="15"/>
        <v>21691.900050994322</v>
      </c>
      <c r="N78" s="303">
        <f t="shared" si="15"/>
        <v>310549.26416156051</v>
      </c>
    </row>
    <row r="79" spans="1:14" x14ac:dyDescent="0.25">
      <c r="A79" s="290"/>
    </row>
    <row r="81" spans="1:14" ht="14.4" customHeight="1" thickBot="1" x14ac:dyDescent="0.3">
      <c r="A81" s="486" t="s">
        <v>296</v>
      </c>
      <c r="B81" s="486"/>
      <c r="C81" s="486"/>
      <c r="D81" s="486"/>
      <c r="E81" s="486"/>
      <c r="F81" s="486"/>
      <c r="G81" s="486"/>
      <c r="H81" s="486"/>
      <c r="I81" s="486"/>
      <c r="J81" s="486"/>
      <c r="K81" s="486"/>
      <c r="L81" s="486"/>
      <c r="M81" s="486"/>
      <c r="N81" s="486"/>
    </row>
    <row r="82" spans="1:14" x14ac:dyDescent="0.25">
      <c r="A82" s="487" t="s">
        <v>32</v>
      </c>
      <c r="B82" s="489" t="s">
        <v>33</v>
      </c>
      <c r="C82" s="490"/>
      <c r="D82" s="490"/>
      <c r="E82" s="490"/>
      <c r="F82" s="490"/>
      <c r="G82" s="490"/>
      <c r="H82" s="490"/>
      <c r="I82" s="490"/>
      <c r="J82" s="490"/>
      <c r="K82" s="490"/>
      <c r="L82" s="490"/>
      <c r="M82" s="491"/>
      <c r="N82" s="492" t="s">
        <v>209</v>
      </c>
    </row>
    <row r="83" spans="1:14" ht="13.8" thickBot="1" x14ac:dyDescent="0.3">
      <c r="A83" s="502"/>
      <c r="B83" s="294" t="s">
        <v>34</v>
      </c>
      <c r="C83" s="295" t="s">
        <v>35</v>
      </c>
      <c r="D83" s="295" t="s">
        <v>36</v>
      </c>
      <c r="E83" s="295" t="s">
        <v>37</v>
      </c>
      <c r="F83" s="295" t="s">
        <v>38</v>
      </c>
      <c r="G83" s="295" t="s">
        <v>39</v>
      </c>
      <c r="H83" s="295" t="s">
        <v>40</v>
      </c>
      <c r="I83" s="295" t="s">
        <v>41</v>
      </c>
      <c r="J83" s="295" t="s">
        <v>42</v>
      </c>
      <c r="K83" s="295" t="s">
        <v>43</v>
      </c>
      <c r="L83" s="295" t="s">
        <v>44</v>
      </c>
      <c r="M83" s="295" t="s">
        <v>45</v>
      </c>
      <c r="N83" s="503"/>
    </row>
    <row r="84" spans="1:14" x14ac:dyDescent="0.25">
      <c r="A84" s="296" t="str">
        <f>A4</f>
        <v>Молоко питне</v>
      </c>
      <c r="B84" s="297">
        <f>'Виробничий план'!B42</f>
        <v>2.3359999999999999</v>
      </c>
      <c r="C84" s="297">
        <f>'Виробничий план'!C42</f>
        <v>2.8992</v>
      </c>
      <c r="D84" s="297">
        <f>'Виробничий план'!D42</f>
        <v>3.8684799999999999</v>
      </c>
      <c r="E84" s="297">
        <f>'Виробничий план'!E42</f>
        <v>4.0571999999999999</v>
      </c>
      <c r="F84" s="297">
        <f>'Виробничий план'!F42</f>
        <v>4.6745600000000005</v>
      </c>
      <c r="G84" s="297">
        <f>'Виробничий план'!G42</f>
        <v>4.7409600000000003</v>
      </c>
      <c r="H84" s="297">
        <f>'Виробничий план'!H42</f>
        <v>4.9966400000000002</v>
      </c>
      <c r="I84" s="297">
        <f>'Виробничий план'!I42</f>
        <v>4.9966400000000002</v>
      </c>
      <c r="J84" s="297">
        <f>'Виробничий план'!J42</f>
        <v>4.6502400000000002</v>
      </c>
      <c r="K84" s="297">
        <f>'Виробничий план'!K42</f>
        <v>4.4855999999999998</v>
      </c>
      <c r="L84" s="297">
        <f>'Виробничий план'!L42</f>
        <v>3.4560000000000004</v>
      </c>
      <c r="M84" s="297">
        <f>'Виробничий план'!M42</f>
        <v>2.9119999999999999</v>
      </c>
      <c r="N84" s="298">
        <f>SUM(B84:M84)</f>
        <v>48.073520000000002</v>
      </c>
    </row>
    <row r="85" spans="1:14" x14ac:dyDescent="0.25">
      <c r="A85" s="145" t="s">
        <v>298</v>
      </c>
      <c r="B85" s="267">
        <f>'Енергоресурси НП'!B83*Довідник!$B$120</f>
        <v>757.64266666666663</v>
      </c>
      <c r="C85" s="267">
        <f>'Енергоресурси НП'!C83*Довідник!$B$120</f>
        <v>940.30720000000008</v>
      </c>
      <c r="D85" s="267">
        <f>'Енергоресурси НП'!D83*Довідник!$B$120</f>
        <v>1254.6770133333334</v>
      </c>
      <c r="E85" s="267">
        <f>'Енергоресурси НП'!E83*Довідник!$B$120</f>
        <v>1315.8852000000002</v>
      </c>
      <c r="F85" s="267">
        <f>'Енергоресурси НП'!F83*Довідник!$B$120</f>
        <v>1516.1156266666669</v>
      </c>
      <c r="G85" s="267">
        <f>'Енергоресурси НП'!G83*Довідник!$B$120</f>
        <v>1537.6513600000001</v>
      </c>
      <c r="H85" s="267">
        <f>'Енергоресурси НП'!H83*Довідник!$B$120</f>
        <v>1620.5769066666667</v>
      </c>
      <c r="I85" s="267">
        <f>'Енергоресурси НП'!I83*Довідник!$B$120</f>
        <v>1620.5769066666667</v>
      </c>
      <c r="J85" s="267">
        <f>'Енергоресурси НП'!J83*Довідник!$B$120</f>
        <v>1508.2278400000002</v>
      </c>
      <c r="K85" s="267">
        <f>'Енергоресурси НП'!K83*Довідник!$B$120</f>
        <v>1454.8296</v>
      </c>
      <c r="L85" s="267">
        <f>'Енергоресурси НП'!L83*Довідник!$B$120</f>
        <v>1120.8960000000002</v>
      </c>
      <c r="M85" s="267">
        <f>'Енергоресурси НП'!M83*Довідник!$B$120</f>
        <v>944.45866666666666</v>
      </c>
      <c r="N85" s="268">
        <f t="shared" ref="N85:N88" si="16">SUM(B85:M85)</f>
        <v>15591.844986666669</v>
      </c>
    </row>
    <row r="86" spans="1:14" x14ac:dyDescent="0.25">
      <c r="A86" s="145" t="s">
        <v>299</v>
      </c>
      <c r="B86" s="267">
        <f>'Енергоресурси НП'!B84*Довідник!$C$120</f>
        <v>523.26400000000001</v>
      </c>
      <c r="C86" s="267">
        <f>'Енергоресурси НП'!C84*Довідник!$C$120</f>
        <v>649.42079999999999</v>
      </c>
      <c r="D86" s="267">
        <f>'Енергоресурси НП'!D84*Довідник!$C$120</f>
        <v>866.53952000000004</v>
      </c>
      <c r="E86" s="267">
        <f>'Енергоресурси НП'!E84*Довідник!$C$120</f>
        <v>908.81279999999992</v>
      </c>
      <c r="F86" s="267">
        <f>'Енергоресурси НП'!F84*Довідник!$C$120</f>
        <v>1047.1014400000001</v>
      </c>
      <c r="G86" s="267">
        <f>'Енергоресурси НП'!G84*Довідник!$C$120</f>
        <v>1061.97504</v>
      </c>
      <c r="H86" s="267">
        <f>'Енергоресурси НП'!H84*Довідник!$C$120</f>
        <v>1119.2473600000001</v>
      </c>
      <c r="I86" s="267">
        <f>'Енергоресурси НП'!I84*Довідник!$C$120</f>
        <v>1119.2473600000001</v>
      </c>
      <c r="J86" s="267">
        <f>'Енергоресурси НП'!J84*Довідник!$C$120</f>
        <v>1041.6537600000001</v>
      </c>
      <c r="K86" s="267">
        <f>'Енергоресурси НП'!K84*Довідник!$C$120</f>
        <v>1004.7744</v>
      </c>
      <c r="L86" s="267">
        <f>'Енергоресурси НП'!L84*Довідник!$C$120</f>
        <v>774.14400000000012</v>
      </c>
      <c r="M86" s="267">
        <f>'Енергоресурси НП'!M84*Довідник!$C$120</f>
        <v>652.28800000000001</v>
      </c>
      <c r="N86" s="268">
        <f t="shared" si="16"/>
        <v>10768.468480000001</v>
      </c>
    </row>
    <row r="87" spans="1:14" x14ac:dyDescent="0.25">
      <c r="A87" s="145" t="s">
        <v>300</v>
      </c>
      <c r="B87" s="267">
        <f>'Енергоресурси НП'!B85*Довідник!$D$120</f>
        <v>231.26399999999998</v>
      </c>
      <c r="C87" s="267">
        <f>'Енергоресурси НП'!C85*Довідник!$D$120</f>
        <v>287.02080000000001</v>
      </c>
      <c r="D87" s="267">
        <f>'Енергоресурси НП'!D85*Довідник!$D$120</f>
        <v>382.97951999999998</v>
      </c>
      <c r="E87" s="267">
        <f>'Енергоресурси НП'!E85*Довідник!$D$120</f>
        <v>401.66279999999995</v>
      </c>
      <c r="F87" s="267">
        <f>'Енергоресурси НП'!F85*Довідник!$D$120</f>
        <v>462.78144000000003</v>
      </c>
      <c r="G87" s="267">
        <f>'Енергоресурси НП'!G85*Довідник!$D$120</f>
        <v>469.35504000000003</v>
      </c>
      <c r="H87" s="267">
        <f>'Енергоресурси НП'!H85*Довідник!$D$120</f>
        <v>494.66735999999997</v>
      </c>
      <c r="I87" s="267">
        <f>'Енергоресурси НП'!I85*Довідник!$D$120</f>
        <v>494.66735999999997</v>
      </c>
      <c r="J87" s="267">
        <f>'Енергоресурси НП'!J85*Довідник!$D$120</f>
        <v>460.37376000000006</v>
      </c>
      <c r="K87" s="267">
        <f>'Енергоресурси НП'!K85*Довідник!$D$120</f>
        <v>444.07439999999997</v>
      </c>
      <c r="L87" s="267">
        <f>'Енергоресурси НП'!L85*Довідник!$D$120</f>
        <v>342.14400000000006</v>
      </c>
      <c r="M87" s="267">
        <f>'Енергоресурси НП'!M85*Довідник!$D$120</f>
        <v>288.28799999999995</v>
      </c>
      <c r="N87" s="268">
        <f t="shared" si="16"/>
        <v>4759.2784799999999</v>
      </c>
    </row>
    <row r="88" spans="1:14" ht="13.8" thickBot="1" x14ac:dyDescent="0.3">
      <c r="A88" s="145" t="s">
        <v>301</v>
      </c>
      <c r="B88" s="267">
        <f>'Енергоресурси НП'!B86*Довідник!$E$120</f>
        <v>286.95546281588452</v>
      </c>
      <c r="C88" s="267">
        <f>'Енергоресурси НП'!C86*Довідник!$E$120</f>
        <v>356.13924563176903</v>
      </c>
      <c r="D88" s="267">
        <f>'Енергоресурси НП'!D86*Довідник!$E$120</f>
        <v>475.20610821660659</v>
      </c>
      <c r="E88" s="267">
        <f>'Енергоресурси НП'!E86*Довідник!$E$120</f>
        <v>498.38857180505426</v>
      </c>
      <c r="F88" s="267">
        <f>'Енергоресурси НП'!F86*Довідник!$E$120</f>
        <v>574.22539737184127</v>
      </c>
      <c r="G88" s="267">
        <f>'Енергоресурси НП'!G86*Довідник!$E$120</f>
        <v>582.38200812996399</v>
      </c>
      <c r="H88" s="267">
        <f>'Енергоресурси НП'!H86*Довідник!$E$120</f>
        <v>613.78987316967527</v>
      </c>
      <c r="I88" s="267">
        <f>'Енергоресурси НП'!I86*Довідник!$E$120</f>
        <v>613.78987316967527</v>
      </c>
      <c r="J88" s="267">
        <f>'Енергоресурси НП'!J86*Довідник!$E$120</f>
        <v>571.23791584115543</v>
      </c>
      <c r="K88" s="267">
        <f>'Енергоресурси НП'!K86*Довідник!$E$120</f>
        <v>551.01345205776181</v>
      </c>
      <c r="L88" s="267">
        <f>'Енергоресурси НП'!L86*Довідник!$E$120</f>
        <v>424.53684909747307</v>
      </c>
      <c r="M88" s="267">
        <f>'Енергоресурси НП'!M86*Довідник!$E$120</f>
        <v>357.71160433213004</v>
      </c>
      <c r="N88" s="268">
        <f t="shared" si="16"/>
        <v>5905.3763616389906</v>
      </c>
    </row>
    <row r="89" spans="1:14" x14ac:dyDescent="0.25">
      <c r="A89" s="296" t="str">
        <f>A9</f>
        <v>Сир кисломолочний</v>
      </c>
      <c r="B89" s="297">
        <f>'Виробничий план'!B44</f>
        <v>0.77866666666666662</v>
      </c>
      <c r="C89" s="297">
        <f>'Виробничий план'!C44</f>
        <v>0.96640000000000004</v>
      </c>
      <c r="D89" s="297">
        <f>'Виробничий план'!D44</f>
        <v>1.2894933333333334</v>
      </c>
      <c r="E89" s="297">
        <f>'Виробничий план'!E44</f>
        <v>1.3524</v>
      </c>
      <c r="F89" s="297">
        <f>'Виробничий план'!F44</f>
        <v>1.5581866666666668</v>
      </c>
      <c r="G89" s="297">
        <f>'Виробничий план'!G44</f>
        <v>1.5803200000000002</v>
      </c>
      <c r="H89" s="297">
        <f>'Виробничий план'!H44</f>
        <v>1.6655466666666667</v>
      </c>
      <c r="I89" s="297">
        <f>'Виробничий план'!I44</f>
        <v>1.6655466666666667</v>
      </c>
      <c r="J89" s="297">
        <f>'Виробничий план'!J44</f>
        <v>1.5500800000000001</v>
      </c>
      <c r="K89" s="297">
        <f>'Виробничий план'!K44</f>
        <v>1.4951999999999999</v>
      </c>
      <c r="L89" s="297">
        <f>'Виробничий план'!L44</f>
        <v>1.1520000000000001</v>
      </c>
      <c r="M89" s="297">
        <f>'Виробничий план'!M44</f>
        <v>0.97066666666666668</v>
      </c>
      <c r="N89" s="298">
        <f>SUM(B89:M89)</f>
        <v>16.024506666666667</v>
      </c>
    </row>
    <row r="90" spans="1:14" x14ac:dyDescent="0.25">
      <c r="A90" s="145" t="s">
        <v>298</v>
      </c>
      <c r="B90" s="267">
        <f>'Енергоресурси НП'!B88*Довідник!$B$120</f>
        <v>568.38340740740728</v>
      </c>
      <c r="C90" s="267">
        <f>'Енергоресурси НП'!C88*Довідник!$B$120</f>
        <v>705.41831111111117</v>
      </c>
      <c r="D90" s="267">
        <f>'Енергоресурси НП'!D88*Довідник!$B$120</f>
        <v>941.25849481481475</v>
      </c>
      <c r="E90" s="267">
        <f>'Енергоресурси НП'!E88*Довідник!$B$120</f>
        <v>987.17686666666657</v>
      </c>
      <c r="F90" s="267">
        <f>'Енергоресурси НП'!F88*Довідник!$B$120</f>
        <v>1137.3897007407406</v>
      </c>
      <c r="G90" s="267">
        <f>'Енергоресурси НП'!G88*Довідник!$B$120</f>
        <v>1153.5458044444447</v>
      </c>
      <c r="H90" s="267">
        <f>'Енергоресурси НП'!H88*Довідник!$B$120</f>
        <v>1215.7565362962962</v>
      </c>
      <c r="I90" s="267">
        <f>'Енергоресурси НП'!I88*Довідник!$B$120</f>
        <v>1215.7565362962962</v>
      </c>
      <c r="J90" s="267">
        <f>'Енергоресурси НП'!J88*Довідник!$B$120</f>
        <v>1131.4722844444445</v>
      </c>
      <c r="K90" s="267">
        <f>'Енергоресурси НП'!K88*Довідник!$B$120</f>
        <v>1091.4129333333331</v>
      </c>
      <c r="L90" s="267">
        <f>'Енергоресурси НП'!L88*Довідник!$B$120</f>
        <v>840.89599999999996</v>
      </c>
      <c r="M90" s="267">
        <f>'Енергоресурси НП'!M88*Довідник!$B$120</f>
        <v>708.53274074074068</v>
      </c>
      <c r="N90" s="268">
        <f t="shared" ref="N90:N93" si="17">SUM(B90:M90)</f>
        <v>11696.999616296296</v>
      </c>
    </row>
    <row r="91" spans="1:14" x14ac:dyDescent="0.25">
      <c r="A91" s="145" t="s">
        <v>299</v>
      </c>
      <c r="B91" s="267">
        <f>'Енергоресурси НП'!B89*Довідник!$C$120</f>
        <v>697.68533333333335</v>
      </c>
      <c r="C91" s="267">
        <f>'Енергоресурси НП'!C89*Довідник!$C$120</f>
        <v>865.89440000000002</v>
      </c>
      <c r="D91" s="267">
        <f>'Енергоресурси НП'!D89*Довідник!$C$120</f>
        <v>1155.3860266666668</v>
      </c>
      <c r="E91" s="267">
        <f>'Енергоресурси НП'!E89*Довідник!$C$120</f>
        <v>1211.7504000000001</v>
      </c>
      <c r="F91" s="267">
        <f>'Енергоресурси НП'!F89*Довідник!$C$120</f>
        <v>1396.1352533333334</v>
      </c>
      <c r="G91" s="267">
        <f>'Енергоресурси НП'!G89*Довідник!$C$120</f>
        <v>1415.9667200000001</v>
      </c>
      <c r="H91" s="267">
        <f>'Енергоресурси НП'!H89*Довідник!$C$120</f>
        <v>1492.3298133333333</v>
      </c>
      <c r="I91" s="267">
        <f>'Енергоресурси НП'!I89*Довідник!$C$120</f>
        <v>1492.3298133333333</v>
      </c>
      <c r="J91" s="267">
        <f>'Енергоресурси НП'!J89*Довідник!$C$120</f>
        <v>1388.8716800000002</v>
      </c>
      <c r="K91" s="267">
        <f>'Енергоресурси НП'!K89*Довідник!$C$120</f>
        <v>1339.6991999999998</v>
      </c>
      <c r="L91" s="267">
        <f>'Енергоресурси НП'!L89*Довідник!$C$120</f>
        <v>1032.192</v>
      </c>
      <c r="M91" s="267">
        <f>'Енергоресурси НП'!M89*Довідник!$C$120</f>
        <v>869.71733333333339</v>
      </c>
      <c r="N91" s="268">
        <f t="shared" si="17"/>
        <v>14357.957973333334</v>
      </c>
    </row>
    <row r="92" spans="1:14" x14ac:dyDescent="0.25">
      <c r="A92" s="145" t="s">
        <v>300</v>
      </c>
      <c r="B92" s="267">
        <f>'Енергоресурси НП'!B90*Довідник!$D$120</f>
        <v>518.59199999999998</v>
      </c>
      <c r="C92" s="267">
        <f>'Енергоресурси НП'!C90*Довідник!$D$120</f>
        <v>643.62239999999997</v>
      </c>
      <c r="D92" s="267">
        <f>'Енергоресурси НП'!D90*Довідник!$D$120</f>
        <v>858.80255999999997</v>
      </c>
      <c r="E92" s="267">
        <f>'Енергоресурси НП'!E90*Довідник!$D$120</f>
        <v>900.69839999999999</v>
      </c>
      <c r="F92" s="267">
        <f>'Енергоресурси НП'!F90*Довідник!$D$120</f>
        <v>1037.7523200000001</v>
      </c>
      <c r="G92" s="267">
        <f>'Енергоресурси НП'!G90*Довідник!$D$120</f>
        <v>1052.4931200000001</v>
      </c>
      <c r="H92" s="267">
        <f>'Енергоресурси НП'!H90*Довідник!$D$120</f>
        <v>1109.2540800000002</v>
      </c>
      <c r="I92" s="267">
        <f>'Енергоресурси НП'!I90*Довідник!$D$120</f>
        <v>1109.2540800000002</v>
      </c>
      <c r="J92" s="267">
        <f>'Енергоресурси НП'!J90*Довідник!$D$120</f>
        <v>1032.35328</v>
      </c>
      <c r="K92" s="267">
        <f>'Енергоресурси НП'!K90*Довідник!$D$120</f>
        <v>995.80319999999995</v>
      </c>
      <c r="L92" s="267">
        <f>'Енергоресурси НП'!L90*Довідник!$D$120</f>
        <v>767.23200000000008</v>
      </c>
      <c r="M92" s="267">
        <f>'Енергоресурси НП'!M90*Довідник!$D$120</f>
        <v>646.46400000000006</v>
      </c>
      <c r="N92" s="268">
        <f t="shared" si="17"/>
        <v>10672.321440000002</v>
      </c>
    </row>
    <row r="93" spans="1:14" ht="13.8" thickBot="1" x14ac:dyDescent="0.3">
      <c r="A93" s="145" t="s">
        <v>301</v>
      </c>
      <c r="B93" s="267">
        <f>'Енергоресурси НП'!B91*Довідник!$E$120</f>
        <v>437.26546714801447</v>
      </c>
      <c r="C93" s="267">
        <f>'Енергоресурси НП'!C91*Довідник!$E$120</f>
        <v>542.688374296029</v>
      </c>
      <c r="D93" s="267">
        <f>'Енергоресурси НП'!D91*Довідник!$E$120</f>
        <v>724.12359347292431</v>
      </c>
      <c r="E93" s="267">
        <f>'Енергоресурси НП'!E91*Довідник!$E$120</f>
        <v>759.4492522743684</v>
      </c>
      <c r="F93" s="267">
        <f>'Енергоресурси НП'!F91*Довідник!$E$120</f>
        <v>875.01012932852007</v>
      </c>
      <c r="G93" s="267">
        <f>'Енергоресурси НП'!G91*Довідник!$E$120</f>
        <v>887.43925048375479</v>
      </c>
      <c r="H93" s="267">
        <f>'Енергоресурси НП'!H91*Довідник!$E$120</f>
        <v>935.29885435379072</v>
      </c>
      <c r="I93" s="267">
        <f>'Енергоресурси НП'!I91*Довідник!$E$120</f>
        <v>935.29885435379072</v>
      </c>
      <c r="J93" s="267">
        <f>'Енергоресурси НП'!J91*Довідник!$E$120</f>
        <v>870.45777651985577</v>
      </c>
      <c r="K93" s="267">
        <f>'Енергоресурси НП'!K91*Довідник!$E$120</f>
        <v>839.63954599277974</v>
      </c>
      <c r="L93" s="267">
        <f>'Енергоресурси НП'!L91*Довідник!$E$120</f>
        <v>646.91329386281598</v>
      </c>
      <c r="M93" s="267">
        <f>'Енергоресурси НП'!M91*Довідник!$E$120</f>
        <v>545.08434945848387</v>
      </c>
      <c r="N93" s="268">
        <f t="shared" si="17"/>
        <v>8998.668741545127</v>
      </c>
    </row>
    <row r="94" spans="1:14" x14ac:dyDescent="0.25">
      <c r="A94" s="296" t="str">
        <f>A14</f>
        <v>Кефір</v>
      </c>
      <c r="B94" s="297">
        <f>'Виробничий план'!B46</f>
        <v>6.8038834951456302</v>
      </c>
      <c r="C94" s="297">
        <f>'Виробничий план'!C46</f>
        <v>8.444271844660193</v>
      </c>
      <c r="D94" s="297">
        <f>'Виробничий план'!D46</f>
        <v>11.267417475728157</v>
      </c>
      <c r="E94" s="297">
        <f>'Виробничий план'!E46</f>
        <v>11.817087378640778</v>
      </c>
      <c r="F94" s="297">
        <f>'Виробничий план'!F46</f>
        <v>13.615223300970875</v>
      </c>
      <c r="G94" s="297">
        <f>'Виробничий план'!G46</f>
        <v>13.8086213592233</v>
      </c>
      <c r="H94" s="297">
        <f>'Виробничий план'!H46</f>
        <v>14.553320388349514</v>
      </c>
      <c r="I94" s="297">
        <f>'Виробничий план'!I46</f>
        <v>14.553320388349514</v>
      </c>
      <c r="J94" s="297">
        <f>'Виробничий план'!J46</f>
        <v>13.544388349514563</v>
      </c>
      <c r="K94" s="297">
        <f>'Виробничий план'!K46</f>
        <v>13.064854368932039</v>
      </c>
      <c r="L94" s="297">
        <f>'Виробничий план'!L46</f>
        <v>10.066019417475729</v>
      </c>
      <c r="M94" s="297">
        <f>'Виробничий план'!M46</f>
        <v>8.4815533980582511</v>
      </c>
      <c r="N94" s="298">
        <f>SUM(B94:M94)</f>
        <v>140.01996116504856</v>
      </c>
    </row>
    <row r="95" spans="1:14" x14ac:dyDescent="0.25">
      <c r="A95" s="145" t="s">
        <v>298</v>
      </c>
      <c r="B95" s="267">
        <f>'Енергоресурси НП'!B93*Довідник!$B$120</f>
        <v>3070.6304207119733</v>
      </c>
      <c r="C95" s="267">
        <f>'Енергоресурси НП'!C93*Довідник!$B$120</f>
        <v>3810.9467961165042</v>
      </c>
      <c r="D95" s="267">
        <f>'Енергоресурси НП'!D93*Довідник!$B$120</f>
        <v>5085.0481035598714</v>
      </c>
      <c r="E95" s="267">
        <f>'Енергоресурси НП'!E93*Довідник!$B$120</f>
        <v>5333.1171844660203</v>
      </c>
      <c r="F95" s="267">
        <f>'Енергоресурси НП'!F93*Довідник!$B$120</f>
        <v>6144.6259158576058</v>
      </c>
      <c r="G95" s="267">
        <f>'Енергоресурси НП'!G93*Довідник!$B$120</f>
        <v>6231.9075339805822</v>
      </c>
      <c r="H95" s="267">
        <f>'Енергоресурси НП'!H93*Довідник!$B$120</f>
        <v>6567.9943430420699</v>
      </c>
      <c r="I95" s="267">
        <f>'Енергоресурси НП'!I93*Довідник!$B$120</f>
        <v>6567.9943430420699</v>
      </c>
      <c r="J95" s="267">
        <f>'Енергоресурси НП'!J93*Довідник!$B$120</f>
        <v>6112.6577087378637</v>
      </c>
      <c r="K95" s="267">
        <f>'Енергоресурси НП'!K93*Довідник!$B$120</f>
        <v>5896.2413592233006</v>
      </c>
      <c r="L95" s="267">
        <f>'Енергоресурси НП'!L93*Довідник!$B$120</f>
        <v>4542.8504854368939</v>
      </c>
      <c r="M95" s="267">
        <f>'Енергоресурси НП'!M93*Довідник!$B$120</f>
        <v>3827.7721682847887</v>
      </c>
      <c r="N95" s="268">
        <f t="shared" ref="N95:N98" si="18">SUM(B95:M95)</f>
        <v>63191.786362459541</v>
      </c>
    </row>
    <row r="96" spans="1:14" x14ac:dyDescent="0.25">
      <c r="A96" s="145" t="s">
        <v>299</v>
      </c>
      <c r="B96" s="267">
        <f>'Енергоресурси НП'!B94*Довідник!$C$120</f>
        <v>1666.9514563106795</v>
      </c>
      <c r="C96" s="267">
        <f>'Енергоресурси НП'!C94*Довідник!$C$120</f>
        <v>2068.8466019417474</v>
      </c>
      <c r="D96" s="267">
        <f>'Енергоресурси НП'!D94*Довідник!$C$120</f>
        <v>2760.5172815533988</v>
      </c>
      <c r="E96" s="267">
        <f>'Енергоресурси НП'!E94*Довідник!$C$120</f>
        <v>2895.1864077669907</v>
      </c>
      <c r="F96" s="267">
        <f>'Енергоресурси НП'!F94*Довідник!$C$120</f>
        <v>3335.7297087378643</v>
      </c>
      <c r="G96" s="267">
        <f>'Енергоресурси НП'!G94*Довідник!$C$120</f>
        <v>3383.1122330097087</v>
      </c>
      <c r="H96" s="267">
        <f>'Енергоресурси НП'!H94*Довідник!$C$120</f>
        <v>3565.5634951456304</v>
      </c>
      <c r="I96" s="267">
        <f>'Енергоресурси НП'!I94*Довідник!$C$120</f>
        <v>3565.5634951456304</v>
      </c>
      <c r="J96" s="267">
        <f>'Енергоресурси НП'!J94*Довідник!$C$120</f>
        <v>3318.3751456310679</v>
      </c>
      <c r="K96" s="267">
        <f>'Енергоресурси НП'!K94*Довідник!$C$120</f>
        <v>3200.8893203883495</v>
      </c>
      <c r="L96" s="267">
        <f>'Енергоресурси НП'!L94*Довідник!$C$120</f>
        <v>2466.1747572815539</v>
      </c>
      <c r="M96" s="267">
        <f>'Енергоресурси НП'!M94*Довідник!$C$120</f>
        <v>2077.9805825242715</v>
      </c>
      <c r="N96" s="268">
        <f t="shared" si="18"/>
        <v>34304.890485436896</v>
      </c>
    </row>
    <row r="97" spans="1:14" x14ac:dyDescent="0.25">
      <c r="A97" s="145" t="s">
        <v>300</v>
      </c>
      <c r="B97" s="267">
        <f>'Енергоресурси НП'!B95*Довідник!$D$120</f>
        <v>673.58446601941739</v>
      </c>
      <c r="C97" s="267">
        <f>'Енергоресурси НП'!C95*Довідник!$D$120</f>
        <v>835.98291262135911</v>
      </c>
      <c r="D97" s="267">
        <f>'Енергоресурси НП'!D95*Довідник!$D$120</f>
        <v>1115.4743300970877</v>
      </c>
      <c r="E97" s="267">
        <f>'Енергоресурси НП'!E95*Довідник!$D$120</f>
        <v>1169.8916504854369</v>
      </c>
      <c r="F97" s="267">
        <f>'Енергоресурси НП'!F95*Довідник!$D$120</f>
        <v>1347.9071067961165</v>
      </c>
      <c r="G97" s="267">
        <f>'Енергоресурси НП'!G95*Довідник!$D$120</f>
        <v>1367.0535145631068</v>
      </c>
      <c r="H97" s="267">
        <f>'Енергоресурси НП'!H95*Довідник!$D$120</f>
        <v>1440.7787184466017</v>
      </c>
      <c r="I97" s="267">
        <f>'Енергоресурси НП'!I95*Довідник!$D$120</f>
        <v>1440.7787184466017</v>
      </c>
      <c r="J97" s="267">
        <f>'Енергоресурси НП'!J95*Довідник!$D$120</f>
        <v>1340.8944466019416</v>
      </c>
      <c r="K97" s="267">
        <f>'Енергоресурси НП'!K95*Довідник!$D$120</f>
        <v>1293.420582524272</v>
      </c>
      <c r="L97" s="267">
        <f>'Енергоресурси НП'!L95*Довідник!$D$120</f>
        <v>996.53592233009726</v>
      </c>
      <c r="M97" s="267">
        <f>'Енергоресурси НП'!M95*Довідник!$D$120</f>
        <v>839.6737864077669</v>
      </c>
      <c r="N97" s="268">
        <f t="shared" si="18"/>
        <v>13861.976155339806</v>
      </c>
    </row>
    <row r="98" spans="1:14" ht="13.8" thickBot="1" x14ac:dyDescent="0.3">
      <c r="A98" s="145" t="s">
        <v>301</v>
      </c>
      <c r="B98" s="267">
        <f>'Енергоресурси НП'!B96*Довідник!$E$120</f>
        <v>1999.9323171287374</v>
      </c>
      <c r="C98" s="267">
        <f>'Енергоресурси НП'!C96*Довідник!$E$120</f>
        <v>2482.1077798885422</v>
      </c>
      <c r="D98" s="267">
        <f>'Енергоресурси НП'!D96*Довідник!$E$120</f>
        <v>3311.9427098314127</v>
      </c>
      <c r="E98" s="267">
        <f>'Енергоресурси НП'!E96*Довідник!$E$120</f>
        <v>3473.5125843556143</v>
      </c>
      <c r="F98" s="267">
        <f>'Енергоресурси НП'!F96*Довідник!$E$120</f>
        <v>4002.0563409063839</v>
      </c>
      <c r="G98" s="267">
        <f>'Енергоресурси НП'!G96*Довідник!$E$120</f>
        <v>4058.9037321124397</v>
      </c>
      <c r="H98" s="267">
        <f>'Енергоресурси НП'!H96*Довідник!$E$120</f>
        <v>4277.8004336721469</v>
      </c>
      <c r="I98" s="267">
        <f>'Енергоресурси НП'!I96*Довідник!$E$120</f>
        <v>4277.8004336721469</v>
      </c>
      <c r="J98" s="267">
        <f>'Енергоресурси НП'!J96*Довідник!$E$120</f>
        <v>3981.2351277417556</v>
      </c>
      <c r="K98" s="267">
        <f>'Енергоресурси НП'!K96*Довідник!$E$120</f>
        <v>3840.2809938838463</v>
      </c>
      <c r="L98" s="267">
        <f>'Енергоресурси НП'!L96*Довідник!$E$120</f>
        <v>2958.8039760260776</v>
      </c>
      <c r="M98" s="267">
        <f>'Енергоресурси НП'!M96*Довідник!$E$120</f>
        <v>2493.0663131330834</v>
      </c>
      <c r="N98" s="268">
        <f t="shared" si="18"/>
        <v>41157.442742352185</v>
      </c>
    </row>
    <row r="99" spans="1:14" x14ac:dyDescent="0.25">
      <c r="A99" s="296" t="str">
        <f>A19</f>
        <v>Сметана</v>
      </c>
      <c r="B99" s="297">
        <f>'Виробничий план'!B48</f>
        <v>0.33371428571428569</v>
      </c>
      <c r="C99" s="297">
        <f>'Виробничий план'!C48</f>
        <v>0.41417142857142858</v>
      </c>
      <c r="D99" s="297">
        <f>'Виробничий план'!D48</f>
        <v>0.55264000000000002</v>
      </c>
      <c r="E99" s="297">
        <f>'Виробничий план'!E48</f>
        <v>0.5796</v>
      </c>
      <c r="F99" s="297">
        <f>'Виробничий план'!F48</f>
        <v>0.66779428571428578</v>
      </c>
      <c r="G99" s="297">
        <f>'Виробничий план'!G48</f>
        <v>0.67727999999999999</v>
      </c>
      <c r="H99" s="297">
        <f>'Виробничий план'!H48</f>
        <v>0.71380571428571427</v>
      </c>
      <c r="I99" s="297">
        <f>'Виробничий план'!I48</f>
        <v>0.71380571428571427</v>
      </c>
      <c r="J99" s="297">
        <f>'Виробничий план'!J48</f>
        <v>0.66432000000000002</v>
      </c>
      <c r="K99" s="297">
        <f>'Виробничий план'!K48</f>
        <v>0.64079999999999993</v>
      </c>
      <c r="L99" s="297">
        <f>'Виробничий план'!L48</f>
        <v>0.49371428571428577</v>
      </c>
      <c r="M99" s="297">
        <f>'Виробничий план'!M48</f>
        <v>0.41599999999999998</v>
      </c>
      <c r="N99" s="298">
        <f>SUM(B99:M99)</f>
        <v>6.8676457142857146</v>
      </c>
    </row>
    <row r="100" spans="1:14" x14ac:dyDescent="0.25">
      <c r="A100" s="145" t="s">
        <v>298</v>
      </c>
      <c r="B100" s="267">
        <f>'Енергоресурси НП'!B98*Довідник!$B$120</f>
        <v>232.56177777777776</v>
      </c>
      <c r="C100" s="267">
        <f>'Енергоресурси НП'!C98*Довідник!$B$120</f>
        <v>288.63146666666665</v>
      </c>
      <c r="D100" s="267">
        <f>'Енергоресурси НП'!D98*Довідник!$B$120</f>
        <v>385.1286755555555</v>
      </c>
      <c r="E100" s="267">
        <f>'Енергоресурси НП'!E98*Довідник!$B$120</f>
        <v>403.91679999999997</v>
      </c>
      <c r="F100" s="267">
        <f>'Енергоресурси НП'!F98*Довідник!$B$120</f>
        <v>465.37841777777783</v>
      </c>
      <c r="G100" s="267">
        <f>'Енергоресурси НП'!G98*Довідник!$B$120</f>
        <v>471.98890666666665</v>
      </c>
      <c r="H100" s="267">
        <f>'Енергоресурси НП'!H98*Довідник!$B$120</f>
        <v>497.44327111111107</v>
      </c>
      <c r="I100" s="267">
        <f>'Енергоресурси НП'!I98*Довідник!$B$120</f>
        <v>497.44327111111107</v>
      </c>
      <c r="J100" s="267">
        <f>'Енергоресурси НП'!J98*Довідник!$B$120</f>
        <v>462.95722666666666</v>
      </c>
      <c r="K100" s="267">
        <f>'Енергоресурси НП'!K98*Довідник!$B$120</f>
        <v>446.56639999999987</v>
      </c>
      <c r="L100" s="267">
        <f>'Енергоресурси НП'!L98*Довідник!$B$120</f>
        <v>344.06400000000002</v>
      </c>
      <c r="M100" s="267">
        <f>'Енергоресурси НП'!M98*Довідник!$B$120</f>
        <v>289.90577777777776</v>
      </c>
      <c r="N100" s="268">
        <f t="shared" ref="N100:N103" si="19">SUM(B100:M100)</f>
        <v>4785.9859911111116</v>
      </c>
    </row>
    <row r="101" spans="1:14" x14ac:dyDescent="0.25">
      <c r="A101" s="145" t="s">
        <v>299</v>
      </c>
      <c r="B101" s="267">
        <f>'Енергоресурси НП'!B99*Довідник!$C$120</f>
        <v>397.11999999999995</v>
      </c>
      <c r="C101" s="267">
        <f>'Енергоресурси НП'!C99*Довідник!$C$120</f>
        <v>492.86399999999998</v>
      </c>
      <c r="D101" s="267">
        <f>'Енергоресурси НП'!D99*Довідник!$C$120</f>
        <v>657.64160000000004</v>
      </c>
      <c r="E101" s="267">
        <f>'Енергоресурси НП'!E99*Довідник!$C$120</f>
        <v>689.72399999999993</v>
      </c>
      <c r="F101" s="267">
        <f>'Енергоресурси НП'!F99*Довідник!$C$120</f>
        <v>794.67520000000002</v>
      </c>
      <c r="G101" s="267">
        <f>'Енергоресурси НП'!G99*Довідник!$C$120</f>
        <v>805.96319999999992</v>
      </c>
      <c r="H101" s="267">
        <f>'Енергоресурси НП'!H99*Довідник!$C$120</f>
        <v>849.42879999999991</v>
      </c>
      <c r="I101" s="267">
        <f>'Енергоресурси НП'!I99*Довідник!$C$120</f>
        <v>849.42879999999991</v>
      </c>
      <c r="J101" s="267">
        <f>'Енергоресурси НП'!J99*Довідник!$C$120</f>
        <v>790.5408000000001</v>
      </c>
      <c r="K101" s="267">
        <f>'Енергоресурси НП'!K99*Довідник!$C$120</f>
        <v>762.55199999999991</v>
      </c>
      <c r="L101" s="267">
        <f>'Енергоресурси НП'!L99*Довідник!$C$120</f>
        <v>587.5200000000001</v>
      </c>
      <c r="M101" s="267">
        <f>'Енергоресурси НП'!M99*Довідник!$C$120</f>
        <v>495.03999999999996</v>
      </c>
      <c r="N101" s="268">
        <f t="shared" si="19"/>
        <v>8172.4983999999986</v>
      </c>
    </row>
    <row r="102" spans="1:14" x14ac:dyDescent="0.25">
      <c r="A102" s="145" t="s">
        <v>300</v>
      </c>
      <c r="B102" s="267">
        <f>'Енергоресурси НП'!B100*Довідник!$D$120</f>
        <v>234.26742857142855</v>
      </c>
      <c r="C102" s="267">
        <f>'Енергоресурси НП'!C100*Довідник!$D$120</f>
        <v>290.74834285714286</v>
      </c>
      <c r="D102" s="267">
        <f>'Енергоресурси НП'!D100*Довідник!$D$120</f>
        <v>387.95328000000006</v>
      </c>
      <c r="E102" s="267">
        <f>'Енергоресурси НП'!E100*Довідник!$D$120</f>
        <v>406.87920000000003</v>
      </c>
      <c r="F102" s="267">
        <f>'Енергоресурси НП'!F100*Довідник!$D$120</f>
        <v>468.79158857142863</v>
      </c>
      <c r="G102" s="267">
        <f>'Енергоресурси НП'!G100*Довідник!$D$120</f>
        <v>475.45056</v>
      </c>
      <c r="H102" s="267">
        <f>'Енергоресурси НП'!H100*Довідник!$D$120</f>
        <v>501.09161142857141</v>
      </c>
      <c r="I102" s="267">
        <f>'Енергоресурси НП'!I100*Довідник!$D$120</f>
        <v>501.09161142857141</v>
      </c>
      <c r="J102" s="267">
        <f>'Енергоресурси НП'!J100*Довідник!$D$120</f>
        <v>466.35264000000001</v>
      </c>
      <c r="K102" s="267">
        <f>'Енергоресурси НП'!K100*Довідник!$D$120</f>
        <v>449.84159999999991</v>
      </c>
      <c r="L102" s="267">
        <f>'Енергоресурси НП'!L100*Довідник!$D$120</f>
        <v>346.58742857142857</v>
      </c>
      <c r="M102" s="267">
        <f>'Енергоресурси НП'!M100*Довідник!$D$120</f>
        <v>292.03199999999998</v>
      </c>
      <c r="N102" s="268">
        <f t="shared" si="19"/>
        <v>4821.0872914285719</v>
      </c>
    </row>
    <row r="103" spans="1:14" ht="13.8" thickBot="1" x14ac:dyDescent="0.3">
      <c r="A103" s="145" t="s">
        <v>301</v>
      </c>
      <c r="B103" s="267">
        <f>'Енергоресурси НП'!B101*Довідник!$E$120</f>
        <v>240.10559133574009</v>
      </c>
      <c r="C103" s="267">
        <f>'Енергоресурси НП'!C101*Довідник!$E$120</f>
        <v>297.99406267148021</v>
      </c>
      <c r="D103" s="267">
        <f>'Енергоресурси НП'!D101*Довідник!$E$120</f>
        <v>397.62143748736463</v>
      </c>
      <c r="E103" s="267">
        <f>'Енергоресурси НП'!E101*Довідник!$E$120</f>
        <v>417.01900906137189</v>
      </c>
      <c r="F103" s="267">
        <f>'Енергоресурси НП'!F101*Довідник!$E$120</f>
        <v>480.47431208664267</v>
      </c>
      <c r="G103" s="267">
        <f>'Енергоресурси НП'!G101*Довідник!$E$120</f>
        <v>487.29923129241877</v>
      </c>
      <c r="H103" s="267">
        <f>'Енергоресурси НП'!H101*Довідник!$E$120</f>
        <v>513.57928163176894</v>
      </c>
      <c r="I103" s="267">
        <f>'Енергоресурси НП'!I101*Довідник!$E$120</f>
        <v>513.57928163176894</v>
      </c>
      <c r="J103" s="267">
        <f>'Енергоресурси НП'!J101*Довідник!$E$120</f>
        <v>477.97458264259933</v>
      </c>
      <c r="K103" s="267">
        <f>'Енергоресурси НП'!K101*Довідник!$E$120</f>
        <v>461.0520721299639</v>
      </c>
      <c r="L103" s="267">
        <f>'Енергоресурси НП'!L101*Довідник!$E$120</f>
        <v>355.22471046931412</v>
      </c>
      <c r="M103" s="267">
        <f>'Енергоресурси НП'!M101*Довідник!$E$120</f>
        <v>299.30970974729246</v>
      </c>
      <c r="N103" s="268">
        <f t="shared" si="19"/>
        <v>4941.2332821877262</v>
      </c>
    </row>
    <row r="104" spans="1:14" x14ac:dyDescent="0.25">
      <c r="A104" s="296" t="str">
        <f>A24</f>
        <v>Сир м'який</v>
      </c>
      <c r="B104" s="297">
        <f>'Виробничий план'!B50</f>
        <v>1.1679999999999999</v>
      </c>
      <c r="C104" s="297">
        <f>'Виробничий план'!C50</f>
        <v>1.4496</v>
      </c>
      <c r="D104" s="297">
        <f>'Виробничий план'!D50</f>
        <v>1.9342400000000002</v>
      </c>
      <c r="E104" s="297">
        <f>'Виробничий план'!E50</f>
        <v>2.0286000000000004</v>
      </c>
      <c r="F104" s="297">
        <f>'Виробничий план'!F50</f>
        <v>2.3372800000000002</v>
      </c>
      <c r="G104" s="297">
        <f>'Виробничий план'!G50</f>
        <v>2.3704800000000001</v>
      </c>
      <c r="H104" s="297">
        <f>'Виробничий план'!H50</f>
        <v>2.4983200000000001</v>
      </c>
      <c r="I104" s="297">
        <f>'Виробничий план'!I50</f>
        <v>2.4983200000000001</v>
      </c>
      <c r="J104" s="297">
        <f>'Виробничий план'!J50</f>
        <v>2.3251200000000001</v>
      </c>
      <c r="K104" s="297">
        <f>'Виробничий план'!K50</f>
        <v>2.2428000000000003</v>
      </c>
      <c r="L104" s="297">
        <f>'Виробничий план'!L50</f>
        <v>1.7280000000000004</v>
      </c>
      <c r="M104" s="297">
        <f>'Виробничий план'!M50</f>
        <v>1.4559999999999997</v>
      </c>
      <c r="N104" s="298">
        <f t="shared" ref="N104:N113" si="20">SUM(B104:M104)</f>
        <v>24.036760000000001</v>
      </c>
    </row>
    <row r="105" spans="1:14" x14ac:dyDescent="0.25">
      <c r="A105" s="145" t="s">
        <v>298</v>
      </c>
      <c r="B105" s="267">
        <f>'Енергоресурси НП'!B103*Довідник!$B$120</f>
        <v>1627.7053333333333</v>
      </c>
      <c r="C105" s="267">
        <f>'Енергоресурси НП'!C103*Довідник!$B$120</f>
        <v>2020.1384</v>
      </c>
      <c r="D105" s="267">
        <f>'Енергоресурси НП'!D103*Довідник!$B$120</f>
        <v>2695.5246266666672</v>
      </c>
      <c r="E105" s="267">
        <f>'Енергоресурси НП'!E103*Довідник!$B$120</f>
        <v>2827.0231500000009</v>
      </c>
      <c r="F105" s="267">
        <f>'Енергоресурси НП'!F103*Довідник!$B$120</f>
        <v>3257.194453333334</v>
      </c>
      <c r="G105" s="267">
        <f>'Енергоресурси НП'!G103*Довідник!$B$120</f>
        <v>3303.4614200000005</v>
      </c>
      <c r="H105" s="267">
        <f>'Енергоресурси НП'!H103*Довідник!$B$120</f>
        <v>3481.6171133333337</v>
      </c>
      <c r="I105" s="267">
        <f>'Енергоресурси НП'!I103*Довідник!$B$120</f>
        <v>3481.6171133333337</v>
      </c>
      <c r="J105" s="267">
        <f>'Енергоресурси НП'!J103*Довідник!$B$120</f>
        <v>3240.2484800000002</v>
      </c>
      <c r="K105" s="267">
        <f>'Енергоресурси НП'!K103*Довідник!$B$120</f>
        <v>3125.5287000000008</v>
      </c>
      <c r="L105" s="267">
        <f>'Енергоресурси НП'!L103*Довідник!$B$120</f>
        <v>2408.112000000001</v>
      </c>
      <c r="M105" s="267">
        <f>'Енергоресурси НП'!M103*Довідник!$B$120</f>
        <v>2029.057333333333</v>
      </c>
      <c r="N105" s="268">
        <f t="shared" si="20"/>
        <v>33497.228123333334</v>
      </c>
    </row>
    <row r="106" spans="1:14" x14ac:dyDescent="0.25">
      <c r="A106" s="145" t="s">
        <v>299</v>
      </c>
      <c r="B106" s="267">
        <f>'Енергоресурси НП'!B104*Довідник!$C$120</f>
        <v>1471.6799999999998</v>
      </c>
      <c r="C106" s="267">
        <f>'Енергоресурси НП'!C104*Довідник!$C$120</f>
        <v>1826.4960000000001</v>
      </c>
      <c r="D106" s="267">
        <f>'Енергоресурси НП'!D104*Довідник!$C$120</f>
        <v>2437.1424000000002</v>
      </c>
      <c r="E106" s="267">
        <f>'Енергоресурси НП'!E104*Довідник!$C$120</f>
        <v>2556.0360000000005</v>
      </c>
      <c r="F106" s="267">
        <f>'Енергоресурси НП'!F104*Довідник!$C$120</f>
        <v>2944.9728000000005</v>
      </c>
      <c r="G106" s="267">
        <f>'Енергоресурси НП'!G104*Довідник!$C$120</f>
        <v>2986.8048000000003</v>
      </c>
      <c r="H106" s="267">
        <f>'Енергоресурси НП'!H104*Довідник!$C$120</f>
        <v>3147.8832000000002</v>
      </c>
      <c r="I106" s="267">
        <f>'Енергоресурси НП'!I104*Довідник!$C$120</f>
        <v>3147.8832000000002</v>
      </c>
      <c r="J106" s="267">
        <f>'Енергоресурси НП'!J104*Довідник!$C$120</f>
        <v>2929.6512000000002</v>
      </c>
      <c r="K106" s="267">
        <f>'Енергоресурси НП'!K104*Довідник!$C$120</f>
        <v>2825.9280000000003</v>
      </c>
      <c r="L106" s="267">
        <f>'Енергоресурси НП'!L104*Довідник!$C$120</f>
        <v>2177.2800000000007</v>
      </c>
      <c r="M106" s="267">
        <f>'Енергоресурси НП'!M104*Довідник!$C$120</f>
        <v>1834.5599999999995</v>
      </c>
      <c r="N106" s="268">
        <f t="shared" si="20"/>
        <v>30286.317600000002</v>
      </c>
    </row>
    <row r="107" spans="1:14" x14ac:dyDescent="0.25">
      <c r="A107" s="145" t="s">
        <v>300</v>
      </c>
      <c r="B107" s="267">
        <f>'Енергоресурси НП'!B105*Довідник!$D$120</f>
        <v>1261.44</v>
      </c>
      <c r="C107" s="267">
        <f>'Енергоресурси НП'!C105*Довідник!$D$120</f>
        <v>1565.568</v>
      </c>
      <c r="D107" s="267">
        <f>'Енергоресурси НП'!D105*Довідник!$D$120</f>
        <v>2088.9792000000002</v>
      </c>
      <c r="E107" s="267">
        <f>'Енергоресурси НП'!E105*Довідник!$D$120</f>
        <v>2190.8880000000004</v>
      </c>
      <c r="F107" s="267">
        <f>'Енергоресурси НП'!F105*Довідник!$D$120</f>
        <v>2524.2624000000005</v>
      </c>
      <c r="G107" s="267">
        <f>'Енергоресурси НП'!G105*Довідник!$D$120</f>
        <v>2560.1184000000003</v>
      </c>
      <c r="H107" s="267">
        <f>'Енергоресурси НП'!H105*Довідник!$D$120</f>
        <v>2698.1856000000002</v>
      </c>
      <c r="I107" s="267">
        <f>'Енергоресурси НП'!I105*Довідник!$D$120</f>
        <v>2698.1856000000002</v>
      </c>
      <c r="J107" s="267">
        <f>'Енергоресурси НП'!J105*Довідник!$D$120</f>
        <v>2511.1296000000002</v>
      </c>
      <c r="K107" s="267">
        <f>'Енергоресурси НП'!K105*Довідник!$D$120</f>
        <v>2422.2240000000002</v>
      </c>
      <c r="L107" s="267">
        <f>'Енергоресурси НП'!L105*Довідник!$D$120</f>
        <v>1866.2400000000005</v>
      </c>
      <c r="M107" s="267">
        <f>'Енергоресурси НП'!M105*Довідник!$D$120</f>
        <v>1572.4799999999998</v>
      </c>
      <c r="N107" s="268">
        <f t="shared" si="20"/>
        <v>25959.700800000006</v>
      </c>
    </row>
    <row r="108" spans="1:14" ht="13.8" thickBot="1" x14ac:dyDescent="0.3">
      <c r="A108" s="145" t="s">
        <v>301</v>
      </c>
      <c r="B108" s="267">
        <f>'Енергоресурси НП'!B106*Довідник!$E$120</f>
        <v>4611.7842238267149</v>
      </c>
      <c r="C108" s="267">
        <f>'Енергоресурси НП'!C106*Довідник!$E$120</f>
        <v>5723.6664476534306</v>
      </c>
      <c r="D108" s="267">
        <f>'Енергоресурси НП'!D106*Довідник!$E$120</f>
        <v>7637.2410249097493</v>
      </c>
      <c r="E108" s="267">
        <f>'Енергоресурси НП'!E106*Довідник!$E$120</f>
        <v>8009.8163325812302</v>
      </c>
      <c r="F108" s="267">
        <f>'Енергоресурси НП'!F106*Довідник!$E$120</f>
        <v>9228.622457761734</v>
      </c>
      <c r="G108" s="267">
        <f>'Енергоресурси НП'!G106*Довідник!$E$120</f>
        <v>9359.7108449458501</v>
      </c>
      <c r="H108" s="267">
        <f>'Енергоресурси НП'!H106*Довідник!$E$120</f>
        <v>9864.4801045126369</v>
      </c>
      <c r="I108" s="267">
        <f>'Енергоресурси НП'!I106*Довідник!$E$120</f>
        <v>9864.4801045126369</v>
      </c>
      <c r="J108" s="267">
        <f>'Енергоресурси НП'!J106*Довідник!$E$120</f>
        <v>9180.6093617328534</v>
      </c>
      <c r="K108" s="267">
        <f>'Енергоресурси НП'!K106*Довідник!$E$120</f>
        <v>8855.5733366426011</v>
      </c>
      <c r="L108" s="267">
        <f>'Енергоресурси НП'!L106*Довідник!$E$120</f>
        <v>6822.9136462093884</v>
      </c>
      <c r="M108" s="267">
        <f>'Енергоресурси НП'!M106*Довідник!$E$120</f>
        <v>5748.9364981949457</v>
      </c>
      <c r="N108" s="268">
        <f t="shared" si="20"/>
        <v>94907.834383483772</v>
      </c>
    </row>
    <row r="109" spans="1:14" x14ac:dyDescent="0.25">
      <c r="A109" s="296" t="str">
        <f>A29</f>
        <v>Сир Рікотта</v>
      </c>
      <c r="B109" s="297">
        <f>'Виробничий план'!B52</f>
        <v>0.35819206657420261</v>
      </c>
      <c r="C109" s="297">
        <f>'Виробничий план'!C52</f>
        <v>0.44455070180305134</v>
      </c>
      <c r="D109" s="297">
        <f>'Виробничий план'!D52</f>
        <v>0.59317587572815544</v>
      </c>
      <c r="E109" s="297">
        <f>'Виробничий план'!E52</f>
        <v>0.62211337864077665</v>
      </c>
      <c r="F109" s="297">
        <f>'Виробничий план'!F52</f>
        <v>0.71677667239944531</v>
      </c>
      <c r="G109" s="297">
        <f>'Виробничий план'!G52</f>
        <v>0.72695815922330087</v>
      </c>
      <c r="H109" s="297">
        <f>'Виробничий план'!H52</f>
        <v>0.76616301692094335</v>
      </c>
      <c r="I109" s="297">
        <f>'Виробничий план'!I52</f>
        <v>0.76616301692094335</v>
      </c>
      <c r="J109" s="297">
        <f>'Виробничий план'!J52</f>
        <v>0.71304754951456295</v>
      </c>
      <c r="K109" s="297">
        <f>'Виробничий план'!K52</f>
        <v>0.68780236893203917</v>
      </c>
      <c r="L109" s="297">
        <f>'Виробничий план'!L52</f>
        <v>0.52992798890429949</v>
      </c>
      <c r="M109" s="297">
        <f>'Виробничий план'!M52</f>
        <v>0.44651339805825235</v>
      </c>
      <c r="N109" s="298">
        <f t="shared" si="20"/>
        <v>7.3713841936199733</v>
      </c>
    </row>
    <row r="110" spans="1:14" x14ac:dyDescent="0.25">
      <c r="A110" s="145" t="s">
        <v>298</v>
      </c>
      <c r="B110" s="267">
        <f>'Енергоресурси НП'!B108*Довідник!$B$120</f>
        <v>499.17049411003251</v>
      </c>
      <c r="C110" s="267">
        <f>'Енергоресурси НП'!C108*Довідник!$B$120</f>
        <v>619.5184488543689</v>
      </c>
      <c r="D110" s="267">
        <f>'Енергоресурси НП'!D108*Довідник!$B$120</f>
        <v>826.64001415016196</v>
      </c>
      <c r="E110" s="267">
        <f>'Енергоресурси НП'!E108*Довідник!$B$120</f>
        <v>866.96683591747569</v>
      </c>
      <c r="F110" s="267">
        <f>'Енергоресурси НП'!F108*Довідник!$B$120</f>
        <v>998.8880243779937</v>
      </c>
      <c r="G110" s="267">
        <f>'Енергоресурси НП'!G108*Довідник!$B$120</f>
        <v>1013.0767747242717</v>
      </c>
      <c r="H110" s="267">
        <f>'Енергоресурси НП'!H108*Довідник!$B$120</f>
        <v>1067.7120109974114</v>
      </c>
      <c r="I110" s="267">
        <f>'Енергоресурси НП'!I108*Довідник!$B$120</f>
        <v>1067.7120109974114</v>
      </c>
      <c r="J110" s="267">
        <f>'Енергоресурси НП'!J108*Довідник!$B$120</f>
        <v>993.69118087766969</v>
      </c>
      <c r="K110" s="267">
        <f>'Енергоресурси НП'!K108*Довідник!$B$120</f>
        <v>958.50991797087431</v>
      </c>
      <c r="L110" s="267">
        <f>'Енергоресурси НП'!L108*Довідник!$B$120</f>
        <v>738.4988132038834</v>
      </c>
      <c r="M110" s="267">
        <f>'Енергоресурси НП'!M108*Довідник!$B$120</f>
        <v>622.2536296440129</v>
      </c>
      <c r="N110" s="268">
        <f t="shared" si="20"/>
        <v>10272.638155825565</v>
      </c>
    </row>
    <row r="111" spans="1:14" x14ac:dyDescent="0.25">
      <c r="A111" s="145" t="s">
        <v>299</v>
      </c>
      <c r="B111" s="267">
        <f>'Енергоресурси НП'!B109*Довідник!$C$120</f>
        <v>451.32200388349531</v>
      </c>
      <c r="C111" s="267">
        <f>'Енергоресурси НП'!C109*Довідник!$C$120</f>
        <v>560.13388427184475</v>
      </c>
      <c r="D111" s="267">
        <f>'Енергоресурси НП'!D109*Довідник!$C$120</f>
        <v>747.40160341747583</v>
      </c>
      <c r="E111" s="267">
        <f>'Енергоресурси НП'!E109*Довідник!$C$120</f>
        <v>783.86285708737864</v>
      </c>
      <c r="F111" s="267">
        <f>'Енергоресурси НП'!F109*Довідник!$C$120</f>
        <v>903.13860722330105</v>
      </c>
      <c r="G111" s="267">
        <f>'Енергоресурси НП'!G109*Довідник!$C$120</f>
        <v>915.96728062135901</v>
      </c>
      <c r="H111" s="267">
        <f>'Енергоресурси НП'!H109*Довідник!$C$120</f>
        <v>965.36540132038874</v>
      </c>
      <c r="I111" s="267">
        <f>'Енергоресурси НП'!I109*Довідник!$C$120</f>
        <v>965.36540132038874</v>
      </c>
      <c r="J111" s="267">
        <f>'Енергоресурси НП'!J109*Довідник!$C$120</f>
        <v>898.4399123883494</v>
      </c>
      <c r="K111" s="267">
        <f>'Енергоресурси НП'!K109*Довідник!$C$120</f>
        <v>866.63098485436933</v>
      </c>
      <c r="L111" s="267">
        <f>'Енергоресурси НП'!L109*Довідник!$C$120</f>
        <v>667.70926601941733</v>
      </c>
      <c r="M111" s="267">
        <f>'Енергоресурси НП'!M109*Довідник!$C$120</f>
        <v>562.6068815533979</v>
      </c>
      <c r="N111" s="268">
        <f t="shared" si="20"/>
        <v>9287.9440839611671</v>
      </c>
    </row>
    <row r="112" spans="1:14" x14ac:dyDescent="0.25">
      <c r="A112" s="145" t="s">
        <v>300</v>
      </c>
      <c r="B112" s="267">
        <f>'Енергоресурси НП'!B110*Довідник!$D$120</f>
        <v>64.474571983356469</v>
      </c>
      <c r="C112" s="267">
        <f>'Енергоресурси НП'!C110*Довідник!$D$120</f>
        <v>80.019126324549234</v>
      </c>
      <c r="D112" s="267">
        <f>'Енергоресурси НП'!D110*Довідник!$D$120</f>
        <v>106.77165763106798</v>
      </c>
      <c r="E112" s="267">
        <f>'Енергоресурси НП'!E110*Довідник!$D$120</f>
        <v>111.9804081553398</v>
      </c>
      <c r="F112" s="267">
        <f>'Енергоресурси НП'!F110*Довідник!$D$120</f>
        <v>129.01980103190016</v>
      </c>
      <c r="G112" s="267">
        <f>'Енергоресурси НП'!G110*Довідник!$D$120</f>
        <v>130.85246866019415</v>
      </c>
      <c r="H112" s="267">
        <f>'Енергоресурси НП'!H110*Довідник!$D$120</f>
        <v>137.90934304576982</v>
      </c>
      <c r="I112" s="267">
        <f>'Енергоресурси НП'!I110*Довідник!$D$120</f>
        <v>137.90934304576982</v>
      </c>
      <c r="J112" s="267">
        <f>'Енергоресурси НП'!J110*Довідник!$D$120</f>
        <v>128.34855891262134</v>
      </c>
      <c r="K112" s="267">
        <f>'Енергоресурси НП'!K110*Довідник!$D$120</f>
        <v>123.80442640776705</v>
      </c>
      <c r="L112" s="267">
        <f>'Енергоресурси НП'!L110*Довідник!$D$120</f>
        <v>95.387038002773906</v>
      </c>
      <c r="M112" s="267">
        <f>'Енергоресурси НП'!M110*Довідник!$D$120</f>
        <v>80.372411650485418</v>
      </c>
      <c r="N112" s="268">
        <f t="shared" si="20"/>
        <v>1326.8491548515949</v>
      </c>
    </row>
    <row r="113" spans="1:14" ht="13.8" thickBot="1" x14ac:dyDescent="0.3">
      <c r="A113" s="145" t="s">
        <v>301</v>
      </c>
      <c r="B113" s="267">
        <f>'Енергоресурси НП'!B111*Довідник!$E$120</f>
        <v>785.72323141495247</v>
      </c>
      <c r="C113" s="267">
        <f>'Енергоресурси НП'!C111*Довідник!$E$120</f>
        <v>975.15787350951609</v>
      </c>
      <c r="D113" s="267">
        <f>'Енергоресурси НП'!D111*Довідник!$E$120</f>
        <v>1301.1791978870356</v>
      </c>
      <c r="E113" s="267">
        <f>'Енергоресурси НП'!E111*Довідник!$E$120</f>
        <v>1364.6559479866198</v>
      </c>
      <c r="F113" s="267">
        <f>'Енергоресурси НП'!F111*Довідник!$E$120</f>
        <v>1572.3075293848801</v>
      </c>
      <c r="G113" s="267">
        <f>'Енергоресурси НП'!G111*Довідник!$E$120</f>
        <v>1594.6414431545513</v>
      </c>
      <c r="H113" s="267">
        <f>'Енергоресурси НП'!H111*Довідник!$E$120</f>
        <v>1680.640465332709</v>
      </c>
      <c r="I113" s="267">
        <f>'Енергоресурси НП'!I111*Довідник!$E$120</f>
        <v>1680.640465332709</v>
      </c>
      <c r="J113" s="267">
        <f>'Енергоресурси НП'!J111*Довідник!$E$120</f>
        <v>1564.1273971126143</v>
      </c>
      <c r="K113" s="267">
        <f>'Енергоресурси НП'!K111*Довідник!$E$120</f>
        <v>1508.7500542957669</v>
      </c>
      <c r="L113" s="267">
        <f>'Енергоресурси НП'!L111*Довідник!$E$120</f>
        <v>1162.4398492166415</v>
      </c>
      <c r="M113" s="267">
        <f>'Енергоресурси НП'!M111*Довідник!$E$120</f>
        <v>979.4632062843923</v>
      </c>
      <c r="N113" s="268">
        <f t="shared" si="20"/>
        <v>16169.726660912389</v>
      </c>
    </row>
    <row r="114" spans="1:14" ht="24.6" thickBot="1" x14ac:dyDescent="0.3">
      <c r="A114" s="273" t="s">
        <v>302</v>
      </c>
      <c r="B114" s="274">
        <f>B85+B90+B95+B100+B105+B110</f>
        <v>6756.0941000071907</v>
      </c>
      <c r="C114" s="274">
        <f t="shared" ref="C114:N114" si="21">C85+C90+C95+C100+C105+C110</f>
        <v>8384.9606227486511</v>
      </c>
      <c r="D114" s="274">
        <f t="shared" si="21"/>
        <v>11188.276928080404</v>
      </c>
      <c r="E114" s="274">
        <f t="shared" si="21"/>
        <v>11734.086037050165</v>
      </c>
      <c r="F114" s="274">
        <f t="shared" si="21"/>
        <v>13519.592138754118</v>
      </c>
      <c r="G114" s="274">
        <f t="shared" si="21"/>
        <v>13711.631799815968</v>
      </c>
      <c r="H114" s="274">
        <f t="shared" si="21"/>
        <v>14451.100181446889</v>
      </c>
      <c r="I114" s="274">
        <f t="shared" si="21"/>
        <v>14451.100181446889</v>
      </c>
      <c r="J114" s="274">
        <f t="shared" si="21"/>
        <v>13449.254720726645</v>
      </c>
      <c r="K114" s="274">
        <f t="shared" si="21"/>
        <v>12973.088910527507</v>
      </c>
      <c r="L114" s="274">
        <f t="shared" si="21"/>
        <v>9995.317298640779</v>
      </c>
      <c r="M114" s="274">
        <f t="shared" si="21"/>
        <v>8421.9803164473196</v>
      </c>
      <c r="N114" s="275">
        <f t="shared" si="21"/>
        <v>139036.48323569252</v>
      </c>
    </row>
    <row r="115" spans="1:14" ht="24.6" thickBot="1" x14ac:dyDescent="0.3">
      <c r="A115" s="273" t="s">
        <v>303</v>
      </c>
      <c r="B115" s="274">
        <f t="shared" ref="B115:N117" si="22">B86+B91+B96+B101+B106+B111</f>
        <v>5208.0227935275079</v>
      </c>
      <c r="C115" s="274">
        <f t="shared" si="22"/>
        <v>6463.6556862135931</v>
      </c>
      <c r="D115" s="274">
        <f t="shared" si="22"/>
        <v>8624.6284316375422</v>
      </c>
      <c r="E115" s="274">
        <f t="shared" si="22"/>
        <v>9045.3724648543703</v>
      </c>
      <c r="F115" s="274">
        <f t="shared" si="22"/>
        <v>10421.7530092945</v>
      </c>
      <c r="G115" s="274">
        <f t="shared" si="22"/>
        <v>10569.789273631068</v>
      </c>
      <c r="H115" s="274">
        <f t="shared" si="22"/>
        <v>11139.818069799352</v>
      </c>
      <c r="I115" s="274">
        <f t="shared" si="22"/>
        <v>11139.818069799352</v>
      </c>
      <c r="J115" s="274">
        <f t="shared" si="22"/>
        <v>10367.532498019416</v>
      </c>
      <c r="K115" s="274">
        <f t="shared" si="22"/>
        <v>10000.473905242719</v>
      </c>
      <c r="L115" s="274">
        <f t="shared" si="22"/>
        <v>7705.0200233009728</v>
      </c>
      <c r="M115" s="274">
        <f t="shared" si="22"/>
        <v>6492.1927974110022</v>
      </c>
      <c r="N115" s="275">
        <f t="shared" si="22"/>
        <v>107178.07702273139</v>
      </c>
    </row>
    <row r="116" spans="1:14" ht="24.6" thickBot="1" x14ac:dyDescent="0.3">
      <c r="A116" s="273" t="s">
        <v>304</v>
      </c>
      <c r="B116" s="274">
        <f t="shared" si="22"/>
        <v>2983.622466574202</v>
      </c>
      <c r="C116" s="274">
        <f t="shared" si="22"/>
        <v>3702.9615818030511</v>
      </c>
      <c r="D116" s="274">
        <f t="shared" si="22"/>
        <v>4940.9605477281557</v>
      </c>
      <c r="E116" s="274">
        <f t="shared" si="22"/>
        <v>5182.0004586407767</v>
      </c>
      <c r="F116" s="274">
        <f t="shared" si="22"/>
        <v>5970.5146563994458</v>
      </c>
      <c r="G116" s="274">
        <f t="shared" si="22"/>
        <v>6055.3231032233016</v>
      </c>
      <c r="H116" s="274">
        <f t="shared" si="22"/>
        <v>6381.886712920943</v>
      </c>
      <c r="I116" s="274">
        <f t="shared" si="22"/>
        <v>6381.886712920943</v>
      </c>
      <c r="J116" s="274">
        <f t="shared" si="22"/>
        <v>5939.4522855145633</v>
      </c>
      <c r="K116" s="274">
        <f t="shared" si="22"/>
        <v>5729.1682089320384</v>
      </c>
      <c r="L116" s="274">
        <f t="shared" si="22"/>
        <v>4414.1263889043003</v>
      </c>
      <c r="M116" s="274">
        <f t="shared" si="22"/>
        <v>3719.3101980582524</v>
      </c>
      <c r="N116" s="275">
        <f t="shared" si="22"/>
        <v>61401.21332161998</v>
      </c>
    </row>
    <row r="117" spans="1:14" ht="24.6" thickBot="1" x14ac:dyDescent="0.3">
      <c r="A117" s="299" t="s">
        <v>305</v>
      </c>
      <c r="B117" s="274">
        <f t="shared" si="22"/>
        <v>8361.7662936700435</v>
      </c>
      <c r="C117" s="274">
        <f t="shared" si="22"/>
        <v>10377.753783650767</v>
      </c>
      <c r="D117" s="274">
        <f t="shared" si="22"/>
        <v>13847.314071805093</v>
      </c>
      <c r="E117" s="274">
        <f t="shared" si="22"/>
        <v>14522.841698064258</v>
      </c>
      <c r="F117" s="274">
        <f t="shared" si="22"/>
        <v>16732.696166840004</v>
      </c>
      <c r="G117" s="274">
        <f t="shared" si="22"/>
        <v>16970.376510118978</v>
      </c>
      <c r="H117" s="274">
        <f t="shared" si="22"/>
        <v>17885.589012672728</v>
      </c>
      <c r="I117" s="274">
        <f t="shared" si="22"/>
        <v>17885.589012672728</v>
      </c>
      <c r="J117" s="274">
        <f t="shared" si="22"/>
        <v>16645.642161590833</v>
      </c>
      <c r="K117" s="274">
        <f t="shared" si="22"/>
        <v>16056.30945500272</v>
      </c>
      <c r="L117" s="274">
        <f t="shared" si="22"/>
        <v>12370.832324881712</v>
      </c>
      <c r="M117" s="274">
        <f t="shared" si="22"/>
        <v>10423.571681150328</v>
      </c>
      <c r="N117" s="275">
        <f t="shared" si="22"/>
        <v>172080.28217212021</v>
      </c>
    </row>
    <row r="118" spans="1:14" ht="13.8" thickBot="1" x14ac:dyDescent="0.3">
      <c r="A118" s="302" t="s">
        <v>306</v>
      </c>
      <c r="B118" s="303">
        <f>B114+B115+B116+B117</f>
        <v>23309.505653778942</v>
      </c>
      <c r="C118" s="303">
        <f t="shared" ref="C118:N118" si="23">C114+C115+C116+C117</f>
        <v>28929.331674416062</v>
      </c>
      <c r="D118" s="303">
        <f t="shared" si="23"/>
        <v>38601.179979251188</v>
      </c>
      <c r="E118" s="303">
        <f t="shared" si="23"/>
        <v>40484.300658609573</v>
      </c>
      <c r="F118" s="303">
        <f t="shared" si="23"/>
        <v>46644.555971288064</v>
      </c>
      <c r="G118" s="303">
        <f t="shared" si="23"/>
        <v>47307.12068678932</v>
      </c>
      <c r="H118" s="303">
        <f t="shared" si="23"/>
        <v>49858.393976839914</v>
      </c>
      <c r="I118" s="303">
        <f t="shared" si="23"/>
        <v>49858.393976839914</v>
      </c>
      <c r="J118" s="303">
        <f t="shared" si="23"/>
        <v>46401.881665851455</v>
      </c>
      <c r="K118" s="303">
        <f t="shared" si="23"/>
        <v>44759.040479704985</v>
      </c>
      <c r="L118" s="303">
        <f t="shared" si="23"/>
        <v>34485.296035727763</v>
      </c>
      <c r="M118" s="303">
        <f t="shared" si="23"/>
        <v>29057.0549930669</v>
      </c>
      <c r="N118" s="303">
        <f t="shared" si="23"/>
        <v>479696.0557521641</v>
      </c>
    </row>
  </sheetData>
  <sheetProtection algorithmName="SHA-512" hashValue="QHGnS0LhXsCVcw8+BkQGmrgTkBbkpgnXoF+UBOBitGeZrlqidK6lbGLkcMTQFBchdxKIyqFgwtZVTP+fuyJaDg==" saltValue="HVDpbf7/rpi4zjjIa/4LOw==" spinCount="100000" sheet="1" objects="1" scenarios="1"/>
  <mergeCells count="15">
    <mergeCell ref="A1:N1"/>
    <mergeCell ref="A2:A3"/>
    <mergeCell ref="B2:M2"/>
    <mergeCell ref="N2:N3"/>
    <mergeCell ref="A41:N41"/>
    <mergeCell ref="Q2:R2"/>
    <mergeCell ref="Q3:V5"/>
    <mergeCell ref="A81:N81"/>
    <mergeCell ref="A82:A83"/>
    <mergeCell ref="B82:M82"/>
    <mergeCell ref="N82:N83"/>
    <mergeCell ref="A42:A43"/>
    <mergeCell ref="B42:M42"/>
    <mergeCell ref="N42:N43"/>
    <mergeCell ref="Q6:V1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</sheetPr>
  <dimension ref="A1:W34"/>
  <sheetViews>
    <sheetView workbookViewId="0">
      <selection activeCell="Q17" sqref="Q17"/>
    </sheetView>
  </sheetViews>
  <sheetFormatPr defaultColWidth="8.88671875" defaultRowHeight="13.2" x14ac:dyDescent="0.25"/>
  <cols>
    <col min="1" max="1" width="24.44140625" style="291" customWidth="1"/>
    <col min="2" max="16384" width="8.88671875" style="291"/>
  </cols>
  <sheetData>
    <row r="1" spans="1:23" ht="14.4" thickBot="1" x14ac:dyDescent="0.3">
      <c r="A1" s="486" t="s">
        <v>307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</row>
    <row r="2" spans="1:23" ht="14.4" customHeight="1" x14ac:dyDescent="0.3">
      <c r="A2" s="487" t="s">
        <v>32</v>
      </c>
      <c r="B2" s="489" t="s">
        <v>33</v>
      </c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1"/>
      <c r="N2" s="492" t="s">
        <v>209</v>
      </c>
      <c r="Q2" s="481" t="s">
        <v>127</v>
      </c>
      <c r="R2" s="481"/>
      <c r="S2" s="426"/>
      <c r="T2" s="426"/>
      <c r="U2" s="426"/>
      <c r="V2" s="426"/>
    </row>
    <row r="3" spans="1:23" ht="13.95" customHeight="1" thickBot="1" x14ac:dyDescent="0.3">
      <c r="A3" s="488"/>
      <c r="B3" s="249" t="s">
        <v>34</v>
      </c>
      <c r="C3" s="266" t="s">
        <v>35</v>
      </c>
      <c r="D3" s="266" t="s">
        <v>36</v>
      </c>
      <c r="E3" s="266" t="s">
        <v>37</v>
      </c>
      <c r="F3" s="266" t="s">
        <v>38</v>
      </c>
      <c r="G3" s="266" t="s">
        <v>39</v>
      </c>
      <c r="H3" s="266" t="s">
        <v>40</v>
      </c>
      <c r="I3" s="266" t="s">
        <v>41</v>
      </c>
      <c r="J3" s="266" t="s">
        <v>42</v>
      </c>
      <c r="K3" s="266" t="s">
        <v>43</v>
      </c>
      <c r="L3" s="266" t="s">
        <v>44</v>
      </c>
      <c r="M3" s="266" t="s">
        <v>45</v>
      </c>
      <c r="N3" s="493"/>
      <c r="Q3" s="499" t="s">
        <v>231</v>
      </c>
      <c r="R3" s="499"/>
      <c r="S3" s="499"/>
      <c r="T3" s="499"/>
      <c r="U3" s="499"/>
      <c r="V3" s="499"/>
    </row>
    <row r="4" spans="1:23" ht="13.2" customHeight="1" x14ac:dyDescent="0.25">
      <c r="A4" s="145" t="str">
        <f>Довідник!$A$54</f>
        <v>Молоко питне</v>
      </c>
      <c r="B4" s="267">
        <f>(Довідник!$C$68/100*Довідник!$D$68*('Виробничий план'!B5*1000))+(Довідник!$E$68/100*Довідник!$F$68*('Виробничий план'!B5*1000))+(Довідник!$G$68*Довідник!$H$68*('Виробничий план'!B6*1000))+(Довідник!$I$68/100*Довідник!$J$68*('Виробничий план'!B5*1000))+(Довідник!$K$68*Довідник!$L$68*('Виробничий план'!B6*1000))</f>
        <v>316.8</v>
      </c>
      <c r="C4" s="267">
        <f>(Довідник!$C$68/100*Довідник!$D$68*('Виробничий план'!C5*1000))+(Довідник!$E$68/100*Довідник!$F$68*('Виробничий план'!C5*1000))+(Довідник!$G$68*Довідник!$H$68*('Виробничий план'!C6*1000))+(Довідник!$I$68/100*Довідник!$J$68*('Виробничий план'!C5*1000))+(Довідник!$K$68*Довідник!$L$68*('Виробничий план'!C6*1000))</f>
        <v>404.8</v>
      </c>
      <c r="D4" s="267">
        <f>(Довідник!$C$68/100*Довідник!$D$68*('Виробничий план'!D5*1000))+(Довідник!$E$68/100*Довідник!$F$68*('Виробничий план'!D5*1000))+(Довідник!$G$68*Довідник!$H$68*('Виробничий план'!D6*1000))+(Довідник!$I$68/100*Довідник!$J$68*('Виробничий план'!D5*1000))+(Довідник!$K$68*Довідник!$L$68*('Виробничий план'!D6*1000))</f>
        <v>654.36799999999994</v>
      </c>
      <c r="E4" s="267">
        <f>(Довідник!$C$68/100*Довідник!$D$68*('Виробничий план'!E5*1000))+(Довідник!$E$68/100*Довідник!$F$68*('Виробничий план'!E5*1000))+(Довідник!$G$68*Довідник!$H$68*('Виробничий план'!E6*1000))+(Довідник!$I$68/100*Довідник!$J$68*('Виробничий план'!E5*1000))+(Довідник!$K$68*Довідник!$L$68*('Виробничий план'!E6*1000))</f>
        <v>931.39199999999994</v>
      </c>
      <c r="F4" s="267">
        <f>(Довідник!$C$68/100*Довідник!$D$68*('Виробничий план'!F5*1000))+(Довідник!$E$68/100*Довідник!$F$68*('Виробничий план'!F5*1000))+(Довідник!$G$68*Довідник!$H$68*('Виробничий план'!F6*1000))+(Довідник!$I$68/100*Довідник!$J$68*('Виробничий план'!F5*1000))+(Довідник!$K$68*Довідник!$L$68*('Виробничий план'!F6*1000))</f>
        <v>1335.84</v>
      </c>
      <c r="G4" s="267">
        <f>(Довідник!$C$68/100*Довідник!$D$68*('Виробничий план'!G5*1000))+(Довідник!$E$68/100*Довідник!$F$68*('Виробничий план'!G5*1000))+(Довідник!$G$68*Довідник!$H$68*('Виробничий план'!G6*1000))+(Довідник!$I$68/100*Довідник!$J$68*('Виробничий план'!G5*1000))+(Довідник!$K$68*Довідник!$L$68*('Виробничий план'!G6*1000))</f>
        <v>1655.808</v>
      </c>
      <c r="H4" s="267">
        <f>(Довідник!$C$68/100*Довідник!$D$68*('Виробничий план'!H5*1000))+(Довідник!$E$68/100*Довідник!$F$68*('Виробничий план'!H5*1000))+(Довідник!$G$68*Довідник!$H$68*('Виробничий план'!H6*1000))+(Довідник!$I$68/100*Довідник!$J$68*('Виробничий план'!H5*1000))+(Довідник!$K$68*Довідник!$L$68*('Виробничий план'!H6*1000))</f>
        <v>2044.4159999999999</v>
      </c>
      <c r="I4" s="267">
        <f>(Довідник!$C$68/100*Довідник!$D$68*('Виробничий план'!I5*1000))+(Довідник!$E$68/100*Довідник!$F$68*('Виробничий план'!I5*1000))+(Довідник!$G$68*Довідник!$H$68*('Виробничий план'!I6*1000))+(Довідник!$I$68/100*Довідник!$J$68*('Виробничий план'!I5*1000))+(Довідник!$K$68*Довідник!$L$68*('Виробничий план'!I6*1000))</f>
        <v>2061.84</v>
      </c>
      <c r="J4" s="267">
        <f>(Довідник!$C$68/100*Довідник!$D$68*('Виробничий план'!J5*1000))+(Довідник!$E$68/100*Довідник!$F$68*('Виробничий план'!J5*1000))+(Довідник!$G$68*Довідник!$H$68*('Виробничий план'!J6*1000))+(Довідник!$I$68/100*Довідник!$J$68*('Виробничий план'!J5*1000))+(Довідник!$K$68*Довідник!$L$68*('Виробничий план'!J6*1000))</f>
        <v>2095.6320000000001</v>
      </c>
      <c r="K4" s="267">
        <f>(Довідник!$C$68/100*Довідник!$D$68*('Виробничий план'!K5*1000))+(Довідник!$E$68/100*Довідник!$F$68*('Виробничий план'!K5*1000))+(Довідник!$G$68*Довідник!$H$68*('Виробничий план'!K6*1000))+(Довідник!$I$68/100*Довідник!$J$68*('Виробничий план'!K5*1000))+(Довідник!$K$68*Довідник!$L$68*('Виробничий план'!K6*1000))</f>
        <v>1907.1360000000004</v>
      </c>
      <c r="L4" s="267">
        <f>(Довідник!$C$68/100*Довідник!$D$68*('Виробничий план'!L5*1000))+(Довідник!$E$68/100*Довідник!$F$68*('Виробничий план'!L5*1000))+(Довідник!$G$68*Довідник!$H$68*('Виробничий план'!L6*1000))+(Довідник!$I$68/100*Довідник!$J$68*('Виробничий план'!L5*1000))+(Довідник!$K$68*Довідник!$L$68*('Виробничий план'!L6*1000))</f>
        <v>1601.6</v>
      </c>
      <c r="M4" s="267">
        <f>(Довідник!$C$68/100*Довідник!$D$68*('Виробничий план'!M5*1000))+(Довідник!$E$68/100*Довідник!$F$68*('Виробничий план'!M5*1000))+(Довідник!$G$68*Довідник!$H$68*('Виробничий план'!M6*1000))+(Довідник!$I$68/100*Довідник!$J$68*('Виробничий план'!M5*1000))+(Довідник!$K$68*Довідник!$L$68*('Виробничий план'!M6*1000))</f>
        <v>1520.64</v>
      </c>
      <c r="N4" s="268">
        <f>SUM(B4:M4)</f>
        <v>16530.272000000001</v>
      </c>
      <c r="Q4" s="499"/>
      <c r="R4" s="499"/>
      <c r="S4" s="499"/>
      <c r="T4" s="499"/>
      <c r="U4" s="499"/>
      <c r="V4" s="499"/>
    </row>
    <row r="5" spans="1:23" ht="13.2" customHeight="1" x14ac:dyDescent="0.25">
      <c r="A5" s="145" t="str">
        <f>Довідник!$A$55</f>
        <v>Сир кисломолочний</v>
      </c>
      <c r="B5" s="292">
        <f>(Довідник!$C$69/100*Довідник!$D$69*('Виробничий план'!B7*1000))+(Довідник!$E$69/100*Довідник!$F$69*('Виробничий план'!B7*1000))+(Довідник!$G$69*Довідник!$H$69*('Виробничий план'!B8*1000))+(Довідник!$I$69/100*Довідник!$J$69*('Виробничий план'!B7*1000))+(Довідник!$K$69*Довідник!$L$69*('Виробничий план'!B8*1000))</f>
        <v>2131.1999999999998</v>
      </c>
      <c r="C5" s="292">
        <f>(Довідник!$C$69/100*Довідник!$D$69*('Виробничий план'!C7*1000))+(Довідник!$E$69/100*Довідник!$F$69*('Виробничий план'!C7*1000))+(Довідник!$G$69*Довідник!$H$69*('Виробничий план'!C8*1000))+(Довідник!$I$69/100*Довідник!$J$69*('Виробничий план'!C7*1000))+(Довідник!$K$69*Довідник!$L$69*('Виробничий план'!C8*1000))</f>
        <v>2723.2</v>
      </c>
      <c r="D5" s="292">
        <f>(Довідник!$C$69/100*Довідник!$D$69*('Виробничий план'!D7*1000))+(Довідник!$E$69/100*Довідник!$F$69*('Виробничий план'!D7*1000))+(Довідник!$G$69*Довідник!$H$69*('Виробничий план'!D8*1000))+(Довідник!$I$69/100*Довідник!$J$69*('Виробничий план'!D7*1000))+(Довідник!$K$69*Довідник!$L$69*('Виробничий план'!D8*1000))</f>
        <v>4402.1119999999992</v>
      </c>
      <c r="E5" s="292">
        <f>(Довідник!$C$69/100*Довідник!$D$69*('Виробничий план'!E7*1000))+(Довідник!$E$69/100*Довідник!$F$69*('Виробничий план'!E7*1000))+(Довідник!$G$69*Довідник!$H$69*('Виробничий план'!E8*1000))+(Довідник!$I$69/100*Довідник!$J$69*('Виробничий план'!E7*1000))+(Довідник!$K$69*Довідник!$L$69*('Виробничий план'!E8*1000))</f>
        <v>6265.7280000000001</v>
      </c>
      <c r="F5" s="292">
        <f>(Довідник!$C$69/100*Довідник!$D$69*('Виробничий план'!F7*1000))+(Довідник!$E$69/100*Довідник!$F$69*('Виробничий план'!F7*1000))+(Довідник!$G$69*Довідник!$H$69*('Виробничий план'!F8*1000))+(Довідник!$I$69/100*Довідник!$J$69*('Виробничий план'!F7*1000))+(Довідник!$K$69*Довідник!$L$69*('Виробничий план'!F8*1000))</f>
        <v>8986.56</v>
      </c>
      <c r="G5" s="292">
        <f>(Довідник!$C$69/100*Довідник!$D$69*('Виробничий план'!G7*1000))+(Довідник!$E$69/100*Довідник!$F$69*('Виробничий план'!G7*1000))+(Довідник!$G$69*Довідник!$H$69*('Виробничий план'!G8*1000))+(Довідник!$I$69/100*Довідник!$J$69*('Виробничий план'!G7*1000))+(Довідник!$K$69*Довідник!$L$69*('Виробничий план'!G8*1000))</f>
        <v>11139.072</v>
      </c>
      <c r="H5" s="292">
        <f>(Довідник!$C$69/100*Довідник!$D$69*('Виробничий план'!H7*1000))+(Довідник!$E$69/100*Довідник!$F$69*('Виробничий план'!H7*1000))+(Довідник!$G$69*Довідник!$H$69*('Виробничий план'!H8*1000))+(Довідник!$I$69/100*Довідник!$J$69*('Виробничий план'!H7*1000))+(Довідник!$K$69*Довідник!$L$69*('Виробничий план'!H8*1000))</f>
        <v>13753.343999999999</v>
      </c>
      <c r="I5" s="292">
        <f>(Довідник!$C$69/100*Довідник!$D$69*('Виробничий план'!I7*1000))+(Довідник!$E$69/100*Довідник!$F$69*('Виробничий план'!I7*1000))+(Довідник!$G$69*Довідник!$H$69*('Виробничий план'!I8*1000))+(Довідник!$I$69/100*Довідник!$J$69*('Виробничий план'!I7*1000))+(Довідник!$K$69*Довідник!$L$69*('Виробничий план'!I8*1000))</f>
        <v>13870.560000000001</v>
      </c>
      <c r="J5" s="292">
        <f>(Довідник!$C$69/100*Довідник!$D$69*('Виробничий план'!J7*1000))+(Довідник!$E$69/100*Довідник!$F$69*('Виробничий план'!J7*1000))+(Довідник!$G$69*Довідник!$H$69*('Виробничий план'!J8*1000))+(Довідник!$I$69/100*Довідник!$J$69*('Виробничий план'!J7*1000))+(Довідник!$K$69*Довідник!$L$69*('Виробничий план'!J8*1000))</f>
        <v>14097.887999999999</v>
      </c>
      <c r="K5" s="292">
        <f>(Довідник!$C$69/100*Довідник!$D$69*('Виробничий план'!K7*1000))+(Довідник!$E$69/100*Довідник!$F$69*('Виробничий план'!K7*1000))+(Довідник!$G$69*Довідник!$H$69*('Виробничий план'!K8*1000))+(Довідник!$I$69/100*Довідник!$J$69*('Виробничий план'!K7*1000))+(Довідник!$K$69*Довідник!$L$69*('Виробничий план'!K8*1000))</f>
        <v>12829.824000000002</v>
      </c>
      <c r="L5" s="292">
        <f>(Довідник!$C$69/100*Довідник!$D$69*('Виробничий план'!L7*1000))+(Довідник!$E$69/100*Довідник!$F$69*('Виробничий план'!L7*1000))+(Довідник!$G$69*Довідник!$H$69*('Виробничий план'!L8*1000))+(Довідник!$I$69/100*Довідник!$J$69*('Виробничий план'!L7*1000))+(Довідник!$K$69*Довідник!$L$69*('Виробничий план'!L8*1000))</f>
        <v>10774.4</v>
      </c>
      <c r="M5" s="292">
        <f>(Довідник!$C$69/100*Довідник!$D$69*('Виробничий план'!M7*1000))+(Довідник!$E$69/100*Довідник!$F$69*('Виробничий план'!M7*1000))+(Довідник!$G$69*Довідник!$H$69*('Виробничий план'!M8*1000))+(Довідник!$I$69/100*Довідник!$J$69*('Виробничий план'!M7*1000))+(Довідник!$K$69*Довідник!$L$69*('Виробничий план'!M8*1000))</f>
        <v>10229.760000000002</v>
      </c>
      <c r="N5" s="269">
        <f t="shared" ref="N5:N9" si="0">SUM(B5:M5)</f>
        <v>111203.64799999999</v>
      </c>
      <c r="Q5" s="499"/>
      <c r="R5" s="499"/>
      <c r="S5" s="499"/>
      <c r="T5" s="499"/>
      <c r="U5" s="499"/>
      <c r="V5" s="499"/>
    </row>
    <row r="6" spans="1:23" x14ac:dyDescent="0.25">
      <c r="A6" s="145" t="str">
        <f>Довідник!$A$56</f>
        <v>Кефір</v>
      </c>
      <c r="B6" s="292">
        <f>(Довідник!$C$70*Довідник!$D$70*('Виробничий план'!B9*1000)/100)+(Довідник!$E$70/100*Довідник!$F$70*('Виробничий план'!B9*1000))+(Довідник!$G$70*Довідник!$H$70*('Виробничий план'!B10*1000))+(Довідник!$I$70/100*Довідник!$J$70*('Виробничий план'!B9*1000))+(Довідник!$K$70*Довідник!$L$70*('Виробничий план'!B10*1000))</f>
        <v>2196.0699029126213</v>
      </c>
      <c r="C6" s="292">
        <f>(Довідник!$C$70/100*Довідник!$D$70*('Виробничий план'!C9*1000))+(Довідник!$E$70/100*Довідник!$F$70*('Виробничий план'!C9*1000))+(Довідник!$G$70*Довідник!$H$70*('Виробничий план'!C10*1000))+(Довідник!$I$70/100*Довідник!$J$70*('Виробничий план'!C9*1000))+(Довідник!$K$70*Довідник!$L$70*('Виробничий план'!C10*1000))</f>
        <v>2806.0893203883488</v>
      </c>
      <c r="D6" s="292">
        <f>(Довідник!$C$70/100*Довідник!$D$70*('Виробничий план'!D9*1000))+(Довідник!$E$70/100*Довідник!$F$70*('Виробничий план'!D9*1000))+(Довідник!$G$70*Довідник!$H$70*('Виробничий план'!D10*1000))+(Довідник!$I$70/100*Довідник!$J$70*('Виробничий план'!D9*1000))+(Довідник!$K$70*Довідник!$L$70*('Виробничий план'!D10*1000))</f>
        <v>4536.1043883495149</v>
      </c>
      <c r="E6" s="292">
        <f>(Довідник!$C$70/100*Довідник!$D$70*('Виробничий план'!E9*1000))+(Довідник!$E$70/100*Довідник!$F$70*('Виробничий план'!E9*1000))+(Довідник!$G$70*Довідник!$H$70*('Виробничий план'!E10*1000))+(Довідник!$I$70/100*Довідник!$J$70*('Виробничий план'!E9*1000))+(Довідник!$K$70*Довідник!$L$70*('Виробничий план'!E10*1000))</f>
        <v>6456.4455145631055</v>
      </c>
      <c r="F6" s="292">
        <f>(Довідник!$C$70/100*Довідник!$D$70*('Виробничий план'!F9*1000))+(Довідник!$E$70/100*Довідник!$F$70*('Виробничий план'!F9*1000))+(Довідник!$G$70*Довідник!$H$70*('Виробничий план'!F10*1000))+(Довідник!$I$70/100*Довідник!$J$70*('Виробничий план'!F9*1000))+(Довідник!$K$70*Довідник!$L$70*('Виробничий план'!F10*1000))</f>
        <v>9260.094757281553</v>
      </c>
      <c r="G6" s="292">
        <f>(Довідник!$C$70/100*Довідник!$D$70*('Виробничий план'!G9*1000))+(Довідник!$E$70/100*Довідник!$F$70*('Виробничий план'!G9*1000))+(Довідник!$G$70*Довідник!$H$70*('Виробничий план'!G10*1000))+(Довідник!$I$70/100*Довідник!$J$70*('Виробничий план'!G9*1000))+(Довідник!$K$70*Довідник!$L$70*('Виробничий план'!G10*1000))</f>
        <v>11478.125359223301</v>
      </c>
      <c r="H6" s="292">
        <f>(Довідник!$C$70/100*Довідник!$D$70*('Виробничий план'!H9*1000))+(Довідник!$E$70/100*Довідник!$F$70*('Виробничий план'!H9*1000))+(Довідник!$G$70*Довідник!$H$70*('Виробничий план'!H10*1000))+(Довідник!$I$70/100*Довідник!$J$70*('Виробничий план'!H9*1000))+(Довідник!$K$70*Довідник!$L$70*('Виробничий план'!H10*1000))</f>
        <v>14171.971106796118</v>
      </c>
      <c r="I6" s="292">
        <f>(Довідник!$C$70/100*Довідник!$D$70*('Виробничий план'!I9*1000))+(Довідник!$E$70/100*Довідник!$F$70*('Виробничий план'!I9*1000))+(Довідник!$G$70*Довідник!$H$70*('Виробничий план'!I10*1000))+(Довідник!$I$70/100*Довідник!$J$70*('Виробничий план'!I9*1000))+(Довідник!$K$70*Довідник!$L$70*('Виробничий план'!I10*1000))</f>
        <v>14292.754951456309</v>
      </c>
      <c r="J6" s="292">
        <f>(Довідник!$C$70/100*Довідник!$D$70*('Виробничий план'!J9*1000))+(Довідник!$E$70/100*Довідник!$F$70*('Виробничий план'!J9*1000))+(Довідник!$G$70*Довідник!$H$70*('Виробничий план'!J10*1000))+(Довідник!$I$70/100*Довідник!$J$70*('Виробничий план'!J9*1000))+(Довідник!$K$70*Довідник!$L$70*('Виробничий план'!J10*1000))</f>
        <v>14527.002407766991</v>
      </c>
      <c r="K6" s="292">
        <f>(Довідник!$C$70/100*Довідник!$D$70*('Виробничий план'!K9*1000))+(Довідник!$E$70/100*Довідник!$F$70*('Виробничий план'!K9*1000))+(Довідник!$G$70*Довідник!$H$70*('Виробничий план'!K10*1000))+(Довідник!$I$70/100*Довідник!$J$70*('Виробничий план'!K9*1000))+(Довідник!$K$70*Довідник!$L$70*('Виробничий план'!K10*1000))</f>
        <v>13220.340815533982</v>
      </c>
      <c r="L6" s="292">
        <f>(Довідник!$C$70/100*Довідник!$D$70*('Виробничий план'!L9*1000))+(Довідник!$E$70/100*Довідник!$F$70*('Виробничий план'!L9*1000))+(Довідник!$G$70*Довідник!$H$70*('Виробничий план'!L10*1000))+(Довідник!$I$70/100*Довідник!$J$70*('Виробничий план'!L9*1000))+(Довідник!$K$70*Довідник!$L$70*('Виробничий план'!L10*1000))</f>
        <v>11102.353398058251</v>
      </c>
      <c r="M6" s="292">
        <f>(Довідник!$C$70/100*Довідник!$D$70*('Виробничий план'!M9*1000))+(Довідник!$E$70/100*Довідник!$F$70*('Виробничий план'!M9*1000))+(Довідник!$G$70*Довідник!$H$70*('Виробничий план'!M10*1000))+(Довідник!$I$70/100*Довідник!$J$70*('Виробничий план'!M9*1000))+(Довідник!$K$70*Довідник!$L$70*('Виробничий план'!M10*1000))</f>
        <v>10541.135533980585</v>
      </c>
      <c r="N6" s="269">
        <f t="shared" si="0"/>
        <v>114588.48745631069</v>
      </c>
    </row>
    <row r="7" spans="1:23" x14ac:dyDescent="0.25">
      <c r="A7" s="145" t="str">
        <f>Довідник!$A$57</f>
        <v>Сметана</v>
      </c>
      <c r="B7" s="292">
        <f>(Довідник!$C$71/100*Довідник!$D$71*('Виробничий план'!B11*1000))+(Довідник!$E$71/100*Довідник!$F$71*('Виробничий план'!B11*1000))+(Довідник!$G$71*Довідник!$H$71*('Виробничий план'!B12*1000))+(Довідник!$I$71/100*Довідник!$J$71*('Виробничий план'!B11*1000))+(Довідник!$K$71*Довідник!$L$71*('Виробничий план'!B12*1000))</f>
        <v>419.65714285714284</v>
      </c>
      <c r="C7" s="292">
        <f>(Довідник!$C$71/100*Довідник!$D$71*('Виробничий план'!C11*1000))+(Довідник!$E$71/100*Довідник!$F$71*('Виробничий план'!C11*1000))+(Довідник!$G$71*Довідник!$H$71*('Виробничий план'!C12*1000))+(Довідник!$I$71/100*Довідник!$J$71*('Виробничий план'!C11*1000))+(Довідник!$K$71*Довідник!$L$71*('Виробничий план'!C12*1000))</f>
        <v>536.2285714285714</v>
      </c>
      <c r="D7" s="292">
        <f>(Довідник!$C$71/100*Довідник!$D$71*('Виробничий план'!D11*1000))+(Довідник!$E$71/100*Довідник!$F$71*('Виробничий план'!D11*1000))+(Довідник!$G$71*Довідник!$H$71*('Виробничий план'!D12*1000))+(Довідник!$I$71/100*Довідник!$J$71*('Виробничий план'!D11*1000))+(Довідник!$K$71*Довідник!$L$71*('Виробничий план'!D12*1000))</f>
        <v>866.82514285714274</v>
      </c>
      <c r="E7" s="292">
        <f>(Довідник!$C$71/100*Довідник!$D$71*('Виробничий план'!E11*1000))+(Довідник!$E$71/100*Довідник!$F$71*('Виробничий план'!E11*1000))+(Довідник!$G$71*Довідник!$H$71*('Виробничий план'!E12*1000))+(Довідник!$I$71/100*Довідник!$J$71*('Виробничий план'!E11*1000))+(Довідник!$K$71*Довідник!$L$71*('Виробничий план'!E12*1000))</f>
        <v>1233.7919999999999</v>
      </c>
      <c r="F7" s="292">
        <f>(Довідник!$C$71/100*Довідник!$D$71*('Виробничий план'!F11*1000))+(Довідник!$E$71/100*Довідник!$F$71*('Виробничий план'!F11*1000))+(Довідник!$G$71*Довідник!$H$71*('Виробничий план'!F12*1000))+(Довідник!$I$71/100*Довідник!$J$71*('Виробничий план'!F11*1000))+(Довідник!$K$71*Довідник!$L$71*('Виробничий план'!F12*1000))</f>
        <v>1769.5542857142855</v>
      </c>
      <c r="G7" s="292">
        <f>(Довідник!$C$71/100*Довідник!$D$71*('Виробничий план'!G11*1000))+(Довідник!$E$71/100*Довідник!$F$71*('Виробничий план'!G11*1000))+(Довідник!$G$71*Довідник!$H$71*('Виробничий план'!G12*1000))+(Довідник!$I$71/100*Довідник!$J$71*('Виробничий план'!G11*1000))+(Довідник!$K$71*Довідник!$L$71*('Виробничий план'!G12*1000))</f>
        <v>2193.4079999999999</v>
      </c>
      <c r="H7" s="292">
        <f>(Довідник!$C$71/100*Довідник!$D$71*('Виробничий план'!H11*1000))+(Довідник!$E$71/100*Довідник!$F$71*('Виробничий план'!H11*1000))+(Довідник!$G$71*Довідник!$H$71*('Виробничий план'!H12*1000))+(Довідник!$I$71/100*Довідник!$J$71*('Виробничий план'!H11*1000))+(Довідник!$K$71*Довідник!$L$71*('Виробничий план'!H12*1000))</f>
        <v>2708.1874285714284</v>
      </c>
      <c r="I7" s="292">
        <f>(Довідник!$C$71/100*Довідник!$D$71*('Виробничий план'!I11*1000))+(Довідник!$E$71/100*Довідник!$F$71*('Виробничий план'!I11*1000))+(Довідник!$G$71*Довідник!$H$71*('Виробничий план'!I12*1000))+(Довідник!$I$71/100*Довідник!$J$71*('Виробничий план'!I11*1000))+(Довідник!$K$71*Довідник!$L$71*('Виробничий план'!I12*1000))</f>
        <v>2731.2685714285717</v>
      </c>
      <c r="J7" s="292">
        <f>(Довідник!$C$71/100*Довідник!$D$71*('Виробничий план'!J11*1000))+(Довідник!$E$71/100*Довідник!$F$71*('Виробничий план'!J11*1000))+(Довідник!$G$71*Довідник!$H$71*('Виробничий план'!J12*1000))+(Довідник!$I$71/100*Довідник!$J$71*('Виробничий план'!J11*1000))+(Довідник!$K$71*Довідник!$L$71*('Виробничий план'!J12*1000))</f>
        <v>2776.0320000000002</v>
      </c>
      <c r="K7" s="292">
        <f>(Довідник!$C$71/100*Довідник!$D$71*('Виробничий план'!K11*1000))+(Довідник!$E$71/100*Довідник!$F$71*('Виробничий план'!K11*1000))+(Довідник!$G$71*Довідник!$H$71*('Виробничий план'!K12*1000))+(Довідник!$I$71/100*Довідник!$J$71*('Виробничий план'!K11*1000))+(Довідник!$K$71*Довідник!$L$71*('Виробничий план'!K12*1000))</f>
        <v>2526.3360000000007</v>
      </c>
      <c r="L7" s="292">
        <f>(Довідник!$C$71/100*Довідник!$D$71*('Виробничий план'!L11*1000))+(Довідник!$E$71/100*Довідник!$F$71*('Виробничий план'!L11*1000))+(Довідник!$G$71*Довідник!$H$71*('Виробничий план'!L12*1000))+(Довідник!$I$71/100*Довідник!$J$71*('Виробничий план'!L11*1000))+(Довідник!$K$71*Довідник!$L$71*('Виробничий план'!L12*1000))</f>
        <v>2121.6</v>
      </c>
      <c r="M7" s="292">
        <f>(Довідник!$C$71/100*Довідник!$D$71*('Виробничий план'!M11*1000))+(Довідник!$E$71/100*Довідник!$F$71*('Виробничий план'!M11*1000))+(Довідник!$G$71*Довідник!$H$71*('Виробничий план'!M12*1000))+(Довідник!$I$71/100*Довідник!$J$71*('Виробничий план'!M11*1000))+(Довідник!$K$71*Довідник!$L$71*('Виробничий план'!M12*1000))</f>
        <v>2014.3542857142859</v>
      </c>
      <c r="N7" s="269">
        <f t="shared" si="0"/>
        <v>21897.243428571426</v>
      </c>
      <c r="Q7" s="514" t="s">
        <v>400</v>
      </c>
      <c r="R7" s="514"/>
      <c r="S7" s="514"/>
      <c r="T7" s="514"/>
      <c r="U7" s="514"/>
      <c r="V7" s="514"/>
      <c r="W7" s="514"/>
    </row>
    <row r="8" spans="1:23" x14ac:dyDescent="0.25">
      <c r="A8" s="145" t="str">
        <f>Довідник!$A$58</f>
        <v>Сир м'який</v>
      </c>
      <c r="B8" s="292">
        <f>(Довідник!$C$72/100*Довідник!$D$72*('Виробничий план'!B13*1000))+(Довідник!$E$72/100*Довідник!$F$72*('Виробничий план'!B13*1000))+(Довідник!$G$72*Довідник!$H$72*('Виробничий план'!B14*1000))+(Довідник!$I$72/100*Довідник!$J$72*('Виробничий план'!B13*1000))+(Довідник!$K$72*Довідник!$L$72*('Виробничий план'!B14*1000))</f>
        <v>1900.8</v>
      </c>
      <c r="C8" s="292">
        <f>(Довідник!$C$72/100*Довідник!$D$72*('Виробничий план'!C13*1000))+(Довідник!$E$72/100*Довідник!$F$72*('Виробничий план'!C13*1000))+(Довідник!$G$72*Довідник!$H$72*('Виробничий план'!C14*1000))+(Довідник!$I$72/100*Довідник!$J$72*('Виробничий план'!C13*1000))+(Довідник!$K$72*Довідник!$L$72*('Виробничий план'!C14*1000))</f>
        <v>2428.7999999999993</v>
      </c>
      <c r="D8" s="292">
        <f>(Довідник!$C$72/100*Довідник!$D$72*('Виробничий план'!D13*1000))+(Довідник!$E$72/100*Довідник!$F$72*('Виробничий план'!D13*1000))+(Довідник!$G$72*Довідник!$H$72*('Виробничий план'!D14*1000))+(Довідник!$I$72/100*Довідник!$J$72*('Виробничий план'!D13*1000))+(Довідник!$K$72*Довідник!$L$72*('Виробничий план'!D14*1000))</f>
        <v>3926.2080000000001</v>
      </c>
      <c r="E8" s="292">
        <f>(Довідник!$C$72/100*Довідник!$D$72*('Виробничий план'!E13*1000))+(Довідник!$E$72/100*Довідник!$F$72*('Виробничий план'!E13*1000))+(Довідник!$G$72*Довідник!$H$72*('Виробничий план'!E14*1000))+(Довідник!$I$72/100*Довідник!$J$72*('Виробничий план'!E13*1000))+(Довідник!$K$72*Довідник!$L$72*('Виробничий план'!E14*1000))</f>
        <v>5588.3519999999999</v>
      </c>
      <c r="F8" s="292">
        <f>(Довідник!$C$72/100*Довідник!$D$72*('Виробничий план'!F13*1000))+(Довідник!$E$72/100*Довідник!$F$72*('Виробничий план'!F13*1000))+(Довідник!$G$72*Довідник!$H$72*('Виробничий план'!F14*1000))+(Довідник!$I$72/100*Довідник!$J$72*('Виробничий план'!F13*1000))+(Довідник!$K$72*Довідник!$L$72*('Виробничий план'!F14*1000))</f>
        <v>8015.04</v>
      </c>
      <c r="G8" s="292">
        <f>(Довідник!$C$72/100*Довідник!$D$72*('Виробничий план'!G13*1000))+(Довідник!$E$72/100*Довідник!$F$72*('Виробничий план'!G13*1000))+(Довідник!$G$72*Довідник!$H$72*('Виробничий план'!G14*1000))+(Довідник!$I$72/100*Довідник!$J$72*('Виробничий план'!G13*1000))+(Довідник!$K$72*Довідник!$L$72*('Виробничий план'!G14*1000))</f>
        <v>9934.848</v>
      </c>
      <c r="H8" s="292">
        <f>(Довідник!$C$72/100*Довідник!$D$72*('Виробничий план'!H13*1000))+(Довідник!$E$72/100*Довідник!$F$72*('Виробничий план'!H13*1000))+(Довідник!$G$72*Довідник!$H$72*('Виробничий план'!H14*1000))+(Довідник!$I$72/100*Довідник!$J$72*('Виробничий план'!H13*1000))+(Довідник!$K$72*Довідник!$L$72*('Виробничий план'!H14*1000))</f>
        <v>12266.496000000001</v>
      </c>
      <c r="I8" s="292">
        <f>(Довідник!$C$72/100*Довідник!$D$72*('Виробничий план'!I13*1000))+(Довідник!$E$72/100*Довідник!$F$72*('Виробничий план'!I13*1000))+(Довідник!$G$72*Довідник!$H$72*('Виробничий план'!I14*1000))+(Довідник!$I$72/100*Довідник!$J$72*('Виробничий план'!I13*1000))+(Довідник!$K$72*Довідник!$L$72*('Виробничий план'!I14*1000))</f>
        <v>12371.039999999999</v>
      </c>
      <c r="J8" s="292">
        <f>(Довідник!$C$72/100*Довідник!$D$72*('Виробничий план'!J13*1000))+(Довідник!$E$72/100*Довідник!$F$72*('Виробничий план'!J13*1000))+(Довідник!$G$72*Довідник!$H$72*('Виробничий план'!J14*1000))+(Довідник!$I$72/100*Довідник!$J$72*('Виробничий план'!J13*1000))+(Довідник!$K$72*Довідник!$L$72*('Виробничий план'!J14*1000))</f>
        <v>12573.792000000001</v>
      </c>
      <c r="K8" s="292">
        <f>(Довідник!$C$72/100*Довідник!$D$72*('Виробничий план'!K13*1000))+(Довідник!$E$72/100*Довідник!$F$72*('Виробничий план'!K13*1000))+(Довідник!$G$72*Довідник!$H$72*('Виробничий план'!K14*1000))+(Довідник!$I$72/100*Довідник!$J$72*('Виробничий план'!K13*1000))+(Довідник!$K$72*Довідник!$L$72*('Виробничий план'!K14*1000))</f>
        <v>11442.816000000001</v>
      </c>
      <c r="L8" s="292">
        <f>(Довідник!$C$72/100*Довідник!$D$72*('Виробничий план'!L13*1000))+(Довідник!$E$72/100*Довідник!$F$72*('Виробничий план'!L13*1000))+(Довідник!$G$72*Довідник!$H$72*('Виробничий план'!L14*1000))+(Довідник!$I$72/100*Довідник!$J$72*('Виробничий план'!L13*1000))+(Довідник!$K$72*Довідник!$L$72*('Виробничий план'!L14*1000))</f>
        <v>9609.5999999999985</v>
      </c>
      <c r="M8" s="292">
        <f>(Довідник!$C$72/100*Довідник!$D$72*('Виробничий план'!M13*1000))+(Довідник!$E$72/100*Довідник!$F$72*('Виробничий план'!M13*1000))+(Довідник!$G$72*Довідник!$H$72*('Виробничий план'!M14*1000))+(Довідник!$I$72/100*Довідник!$J$72*('Виробничий план'!M13*1000))+(Довідник!$K$72*Довідник!$L$72*('Виробничий план'!M14*1000))</f>
        <v>9123.840000000002</v>
      </c>
      <c r="N8" s="269">
        <f t="shared" si="0"/>
        <v>99181.632000000012</v>
      </c>
      <c r="Q8" s="514"/>
      <c r="R8" s="514"/>
      <c r="S8" s="514"/>
      <c r="T8" s="514"/>
      <c r="U8" s="514"/>
      <c r="V8" s="514"/>
      <c r="W8" s="514"/>
    </row>
    <row r="9" spans="1:23" ht="13.8" thickBot="1" x14ac:dyDescent="0.3">
      <c r="A9" s="270" t="str">
        <f>Довідник!$A$61</f>
        <v>Сир Рікотта</v>
      </c>
      <c r="B9" s="293">
        <f>(Довідник!$C$75/100*Довідник!$D$75*('Виробничий план'!B15*1000))+(Довідник!$E$75/100*Довідник!$F$75*('Виробничий план'!B15*1000))+(Довідник!$G$75*Довідник!$H$75*('Виробничий план'!B16*1000))+(Довідник!$I$75/100*Довідник!$J$75*('Виробничий план'!B15*1000))+(Довідник!$K$75*Довідник!$L$75*('Виробничий план'!B16*1000))</f>
        <v>1192.3379750346744</v>
      </c>
      <c r="C9" s="293">
        <f>(Довідник!$C$75/100*Довідник!$D$75*('Виробничий план'!C15*1000))+(Довідник!$E$75/100*Довідник!$F$75*('Виробничий план'!C15*1000))+(Довідник!$G$75*Довідник!$H$75*('Виробничий план'!C16*1000))+(Довідник!$I$75/100*Довідник!$J$75*('Виробничий план'!C15*1000))+(Довідник!$K$75*Довідник!$L$75*('Виробничий план'!C16*1000))</f>
        <v>1523.5429680998614</v>
      </c>
      <c r="D9" s="293">
        <f>(Довідник!$C$75/100*Довідник!$D$75*('Виробничий план'!D15*1000))+(Довідник!$E$75/100*Довідник!$F$75*('Виробничий план'!D15*1000))+(Довідник!$G$75*Довідник!$H$75*('Виробничий план'!D16*1000))+(Довідник!$I$75/100*Довідник!$J$75*('Виробничий план'!D15*1000))+(Довідник!$K$75*Довідник!$L$75*('Виробничий план'!D16*1000))</f>
        <v>2462.8403284327328</v>
      </c>
      <c r="E9" s="293">
        <f>(Довідник!$C$75/100*Довідник!$D$75*('Виробничий план'!E15*1000))+(Довідник!$E$75/100*Довідник!$F$75*('Виробничий план'!E15*1000))+(Довідник!$G$75*Довідник!$H$75*('Виробничий план'!E16*1000))+(Довідник!$I$75/100*Довідник!$J$75*('Виробничий план'!E15*1000))+(Довідник!$K$75*Довідник!$L$75*('Виробничий план'!E16*1000))</f>
        <v>3505.4736466019426</v>
      </c>
      <c r="F9" s="293">
        <f>(Довідник!$C$75/100*Довідник!$D$75*('Виробничий план'!F15*1000))+(Довідник!$E$75/100*Довідник!$F$75*('Виробничий план'!F15*1000))+(Довідник!$G$75*Довідник!$H$75*('Виробничий план'!F16*1000))+(Довідник!$I$75/100*Довідник!$J$75*('Виробничий план'!F15*1000))+(Довідник!$K$75*Довідник!$L$75*('Виробничий план'!F16*1000))</f>
        <v>5027.6917947295424</v>
      </c>
      <c r="G9" s="293">
        <f>(Довідник!$C$75/100*Довідник!$D$75*('Виробничий план'!G15*1000))+(Довідник!$E$75/100*Довідник!$F$75*('Виробничий план'!G15*1000))+(Довідник!$G$75*Довідник!$H$75*('Виробничий план'!G16*1000))+(Довідник!$I$75/100*Довідник!$J$75*('Виробничий план'!G15*1000))+(Довідник!$K$75*Довідник!$L$75*('Виробничий план'!G16*1000))</f>
        <v>6231.953149514562</v>
      </c>
      <c r="H9" s="293">
        <f>(Довідник!$C$75/100*Довідник!$D$75*('Виробничий план'!H15*1000))+(Довідник!$E$75/100*Довідник!$F$75*('Виробничий план'!H15*1000))+(Довідник!$G$75*Довідник!$H$75*('Виробничий план'!H16*1000))+(Довідник!$I$75/100*Довідник!$J$75*('Виробничий план'!H15*1000))+(Довідник!$K$75*Довідник!$L$75*('Виробничий план'!H16*1000))</f>
        <v>7694.5543988904283</v>
      </c>
      <c r="I9" s="293">
        <f>(Довідник!$C$75/100*Довідник!$D$75*('Виробничий план'!I15*1000))+(Довідник!$E$75/100*Довідник!$F$75*('Виробничий план'!I15*1000))+(Довідник!$G$75*Довідник!$H$75*('Виробничий план'!I16*1000))+(Довідник!$I$75/100*Довідник!$J$75*('Виробничий план'!I15*1000))+(Довідник!$K$75*Довідник!$L$75*('Виробничий план'!I16*1000))</f>
        <v>7760.1329875173342</v>
      </c>
      <c r="J9" s="293">
        <f>(Довідник!$C$75/100*Довідник!$D$75*('Виробничий план'!J15*1000))+(Довідник!$E$75/100*Довідник!$F$75*('Виробничий план'!J15*1000))+(Довідник!$G$75*Довідник!$H$75*('Виробничий план'!J16*1000))+(Довідник!$I$75/100*Довідник!$J$75*('Виробничий план'!J15*1000))+(Довідник!$K$75*Довідник!$L$75*('Виробничий план'!J16*1000))</f>
        <v>7887.3157048543699</v>
      </c>
      <c r="K9" s="293">
        <f>(Довідник!$C$75/100*Довідник!$D$75*('Виробничий план'!K15*1000))+(Довідник!$E$75/100*Довідник!$F$75*('Виробничий план'!K15*1000))+(Довідник!$G$75*Довідник!$H$75*('Виробничий план'!K16*1000))+(Довідник!$I$75/100*Довідник!$J$75*('Виробничий план'!K15*1000))+(Довідник!$K$75*Довідник!$L$75*('Виробничий план'!K16*1000))</f>
        <v>7177.8746097087369</v>
      </c>
      <c r="L9" s="293">
        <f>(Довідник!$C$75/100*Довідник!$D$75*('Виробничий план'!L15*1000))+(Довідник!$E$75/100*Довідник!$F$75*('Виробничий план'!L15*1000))+(Довідник!$G$75*Довідник!$H$75*('Виробничий план'!L16*1000))+(Довідник!$I$75/100*Довідник!$J$75*('Виробничий план'!L15*1000))+(Довідник!$K$75*Довідник!$L$75*('Виробничий план'!L16*1000))</f>
        <v>6027.9308737864067</v>
      </c>
      <c r="M9" s="293">
        <f>(Довідник!$C$75/100*Довідник!$D$75*('Виробничий план'!M15*1000))+(Довідник!$E$75/100*Довідник!$F$75*('Виробничий план'!M15*1000))+(Довідник!$G$75*Довідник!$H$75*('Виробничий план'!M16*1000))+(Довідник!$I$75/100*Довідник!$J$75*('Виробничий план'!M15*1000))+(Довідник!$K$75*Довідник!$L$75*('Виробничий план'!M16*1000))</f>
        <v>5723.2222801664338</v>
      </c>
      <c r="N9" s="272">
        <f t="shared" si="0"/>
        <v>62214.87071733702</v>
      </c>
      <c r="Q9" s="514"/>
      <c r="R9" s="514"/>
      <c r="S9" s="514"/>
      <c r="T9" s="514"/>
      <c r="U9" s="514"/>
      <c r="V9" s="514"/>
      <c r="W9" s="514"/>
    </row>
    <row r="10" spans="1:23" ht="13.8" thickBot="1" x14ac:dyDescent="0.3">
      <c r="A10" s="273" t="s">
        <v>308</v>
      </c>
      <c r="B10" s="274">
        <f>SUM(B4:B9)</f>
        <v>8156.8650208044382</v>
      </c>
      <c r="C10" s="274">
        <f t="shared" ref="C10:N10" si="1">SUM(C4:C9)</f>
        <v>10422.660859916781</v>
      </c>
      <c r="D10" s="274">
        <f t="shared" si="1"/>
        <v>16848.457859639391</v>
      </c>
      <c r="E10" s="274">
        <f t="shared" si="1"/>
        <v>23981.183161165049</v>
      </c>
      <c r="F10" s="274">
        <f t="shared" si="1"/>
        <v>34394.780837725382</v>
      </c>
      <c r="G10" s="274">
        <f t="shared" si="1"/>
        <v>42633.214508737867</v>
      </c>
      <c r="H10" s="274">
        <f t="shared" si="1"/>
        <v>52638.96893425798</v>
      </c>
      <c r="I10" s="274">
        <f t="shared" si="1"/>
        <v>53087.596510402211</v>
      </c>
      <c r="J10" s="274">
        <f t="shared" si="1"/>
        <v>53957.662112621365</v>
      </c>
      <c r="K10" s="274">
        <f t="shared" si="1"/>
        <v>49104.327425242722</v>
      </c>
      <c r="L10" s="274">
        <f t="shared" si="1"/>
        <v>41237.484271844653</v>
      </c>
      <c r="M10" s="274">
        <f t="shared" si="1"/>
        <v>39152.952099861308</v>
      </c>
      <c r="N10" s="275">
        <f t="shared" si="1"/>
        <v>425616.15360221907</v>
      </c>
      <c r="Q10" s="514"/>
      <c r="R10" s="514"/>
      <c r="S10" s="514"/>
      <c r="T10" s="514"/>
      <c r="U10" s="514"/>
      <c r="V10" s="514"/>
      <c r="W10" s="514"/>
    </row>
    <row r="11" spans="1:23" x14ac:dyDescent="0.25">
      <c r="Q11" s="514"/>
      <c r="R11" s="514"/>
      <c r="S11" s="514"/>
      <c r="T11" s="514"/>
      <c r="U11" s="514"/>
      <c r="V11" s="514"/>
      <c r="W11" s="514"/>
    </row>
    <row r="12" spans="1:23" x14ac:dyDescent="0.25">
      <c r="Q12" s="514"/>
      <c r="R12" s="514"/>
      <c r="S12" s="514"/>
      <c r="T12" s="514"/>
      <c r="U12" s="514"/>
      <c r="V12" s="514"/>
      <c r="W12" s="514"/>
    </row>
    <row r="13" spans="1:23" ht="14.4" customHeight="1" thickBot="1" x14ac:dyDescent="0.3">
      <c r="A13" s="486" t="s">
        <v>307</v>
      </c>
      <c r="B13" s="486"/>
      <c r="C13" s="486"/>
      <c r="D13" s="486"/>
      <c r="E13" s="486"/>
      <c r="F13" s="486"/>
      <c r="G13" s="486"/>
      <c r="H13" s="486"/>
      <c r="I13" s="486"/>
      <c r="J13" s="486"/>
      <c r="K13" s="486"/>
      <c r="L13" s="486"/>
      <c r="M13" s="486"/>
      <c r="N13" s="486"/>
      <c r="Q13" s="514"/>
      <c r="R13" s="514"/>
      <c r="S13" s="514"/>
      <c r="T13" s="514"/>
      <c r="U13" s="514"/>
      <c r="V13" s="514"/>
      <c r="W13" s="514"/>
    </row>
    <row r="14" spans="1:23" x14ac:dyDescent="0.25">
      <c r="A14" s="487" t="s">
        <v>32</v>
      </c>
      <c r="B14" s="489" t="s">
        <v>33</v>
      </c>
      <c r="C14" s="490"/>
      <c r="D14" s="490"/>
      <c r="E14" s="490"/>
      <c r="F14" s="490"/>
      <c r="G14" s="490"/>
      <c r="H14" s="490"/>
      <c r="I14" s="490"/>
      <c r="J14" s="490"/>
      <c r="K14" s="490"/>
      <c r="L14" s="490"/>
      <c r="M14" s="491"/>
      <c r="N14" s="492" t="s">
        <v>209</v>
      </c>
      <c r="Q14" s="514"/>
      <c r="R14" s="514"/>
      <c r="S14" s="514"/>
      <c r="T14" s="514"/>
      <c r="U14" s="514"/>
      <c r="V14" s="514"/>
      <c r="W14" s="514"/>
    </row>
    <row r="15" spans="1:23" ht="13.8" thickBot="1" x14ac:dyDescent="0.3">
      <c r="A15" s="488"/>
      <c r="B15" s="249" t="s">
        <v>34</v>
      </c>
      <c r="C15" s="266" t="s">
        <v>35</v>
      </c>
      <c r="D15" s="266" t="s">
        <v>36</v>
      </c>
      <c r="E15" s="266" t="s">
        <v>37</v>
      </c>
      <c r="F15" s="266" t="s">
        <v>38</v>
      </c>
      <c r="G15" s="266" t="s">
        <v>39</v>
      </c>
      <c r="H15" s="266" t="s">
        <v>40</v>
      </c>
      <c r="I15" s="266" t="s">
        <v>41</v>
      </c>
      <c r="J15" s="266" t="s">
        <v>42</v>
      </c>
      <c r="K15" s="266" t="s">
        <v>43</v>
      </c>
      <c r="L15" s="266" t="s">
        <v>44</v>
      </c>
      <c r="M15" s="266" t="s">
        <v>45</v>
      </c>
      <c r="N15" s="493"/>
      <c r="Q15" s="514"/>
      <c r="R15" s="514"/>
      <c r="S15" s="514"/>
      <c r="T15" s="514"/>
      <c r="U15" s="514"/>
      <c r="V15" s="514"/>
      <c r="W15" s="514"/>
    </row>
    <row r="16" spans="1:23" x14ac:dyDescent="0.25">
      <c r="A16" s="145" t="str">
        <f>Довідник!$A$54</f>
        <v>Молоко питне</v>
      </c>
      <c r="B16" s="267">
        <f>(Довідник!$C$68/100*Довідник!$D$68*('Виробничий план'!B23*1000))+(Довідник!$E$68/100*Довідник!$F$68*('Виробничий план'!B23*1000))+(Довідник!$G$68*Довідник!$H$68*('Виробничий план'!B24*1000))+(Довідник!$I$68/100*Довідник!$J$68*('Виробничий план'!B23*1000))+(Довідник!$K$68*Довідник!$L$68*('Виробничий план'!B24*1000))</f>
        <v>1689.6</v>
      </c>
      <c r="C16" s="267">
        <f>(Довідник!$C$68/100*Довідник!$D$68*('Виробничий план'!C23*1000))+(Довідник!$E$68/100*Довідник!$F$68*('Виробничий план'!C23*1000))+(Довідник!$G$68*Довідник!$H$68*('Виробничий план'!C24*1000))+(Довідник!$I$68/100*Довідник!$J$68*('Виробничий план'!C23*1000))+(Довідник!$K$68*Довідник!$L$68*('Виробничий план'!C24*1000))</f>
        <v>1994.08</v>
      </c>
      <c r="D16" s="267">
        <f>(Довідник!$C$68/100*Довідник!$D$68*('Виробничий план'!D23*1000))+(Довідник!$E$68/100*Довідник!$F$68*('Виробничий план'!D23*1000))+(Довідник!$G$68*Довідник!$H$68*('Виробничий план'!D24*1000))+(Довідник!$I$68/100*Довідник!$J$68*('Виробничий план'!D23*1000))+(Довідник!$K$68*Довідник!$L$68*('Виробничий план'!D24*1000))</f>
        <v>2927.2320000000004</v>
      </c>
      <c r="E16" s="267">
        <f>(Довідник!$C$68/100*Довідник!$D$68*('Виробничий план'!E23*1000))+(Довідник!$E$68/100*Довідник!$F$68*('Виробничий план'!E23*1000))+(Довідник!$G$68*Довідник!$H$68*('Виробничий план'!E24*1000))+(Довідник!$I$68/100*Довідник!$J$68*('Виробничий план'!E23*1000))+(Довідник!$K$68*Довідник!$L$68*('Виробничий план'!E24*1000))</f>
        <v>3187.8</v>
      </c>
      <c r="F16" s="267">
        <f>(Довідник!$C$68/100*Довідник!$D$68*('Виробничий план'!F23*1000))+(Довідник!$E$68/100*Довідник!$F$68*('Виробничий план'!F23*1000))+(Довідник!$G$68*Довідник!$H$68*('Виробничий план'!F24*1000))+(Довідник!$I$68/100*Довідник!$J$68*('Виробничий план'!F23*1000))+(Довідник!$K$68*Довідник!$L$68*('Виробничий план'!F24*1000))</f>
        <v>3562.2400000000007</v>
      </c>
      <c r="G16" s="267">
        <f>(Довідник!$C$68/100*Довідник!$D$68*('Виробничий план'!G23*1000))+(Довідник!$E$68/100*Довідник!$F$68*('Виробничий план'!G23*1000))+(Довідник!$G$68*Довідник!$H$68*('Виробничий план'!G24*1000))+(Довідник!$I$68/100*Довідник!$J$68*('Виробничий план'!G23*1000))+(Довідник!$K$68*Довідник!$L$68*('Виробничий план'!G24*1000))</f>
        <v>3548.16</v>
      </c>
      <c r="H16" s="267">
        <f>(Довідник!$C$68/100*Довідник!$D$68*('Виробничий план'!H23*1000))+(Довідник!$E$68/100*Довідник!$F$68*('Виробничий план'!H23*1000))+(Довідник!$G$68*Довідник!$H$68*('Виробничий план'!H24*1000))+(Довідник!$I$68/100*Довідник!$J$68*('Виробничий план'!H23*1000))+(Довідник!$K$68*Довідник!$L$68*('Виробничий план'!H24*1000))</f>
        <v>3717.12</v>
      </c>
      <c r="I16" s="267">
        <f>(Довідник!$C$68/100*Довідник!$D$68*('Виробничий план'!I23*1000))+(Довідник!$E$68/100*Довідник!$F$68*('Виробничий план'!I23*1000))+(Довідник!$G$68*Довідник!$H$68*('Виробничий план'!I24*1000))+(Довідник!$I$68/100*Довідник!$J$68*('Виробничий план'!I23*1000))+(Довідник!$K$68*Довідник!$L$68*('Виробничий план'!I24*1000))</f>
        <v>3902.9760000000006</v>
      </c>
      <c r="J16" s="267">
        <f>(Довідник!$C$68/100*Довідник!$D$68*('Виробничий план'!J23*1000))+(Довідник!$E$68/100*Довідник!$F$68*('Виробничий план'!J23*1000))+(Довідник!$G$68*Довідник!$H$68*('Виробничий план'!J24*1000))+(Довідник!$I$68/100*Довідник!$J$68*('Виробничий план'!J23*1000))+(Довідник!$K$68*Довідник!$L$68*('Виробничий план'!J24*1000))</f>
        <v>3631.32</v>
      </c>
      <c r="K16" s="267">
        <f>(Довідник!$C$68/100*Довідник!$D$68*('Виробничий план'!K23*1000))+(Довідник!$E$68/100*Довідник!$F$68*('Виробничий план'!K23*1000))+(Довідник!$G$68*Довідник!$H$68*('Виробничий план'!K24*1000))+(Довідник!$I$68/100*Довідник!$J$68*('Виробничий план'!K23*1000))+(Довідник!$K$68*Довідник!$L$68*('Виробничий план'!K24*1000))</f>
        <v>3015.9359999999997</v>
      </c>
      <c r="L16" s="267">
        <f>(Довідник!$C$68/100*Довідник!$D$68*('Виробничий план'!L23*1000))+(Довідник!$E$68/100*Довідник!$F$68*('Виробничий план'!L23*1000))+(Довідник!$G$68*Довідник!$H$68*('Виробничий план'!L24*1000))+(Довідник!$I$68/100*Довідник!$J$68*('Виробничий план'!L23*1000))+(Довідник!$K$68*Довідник!$L$68*('Виробничий план'!L24*1000))</f>
        <v>3041.28</v>
      </c>
      <c r="M16" s="267">
        <f>(Довідник!$C$68/100*Довідник!$D$68*('Виробничий план'!M23*1000))+(Довідник!$E$68/100*Довідник!$F$68*('Виробничий план'!M23*1000))+(Довідник!$G$68*Довідник!$H$68*('Виробничий план'!M24*1000))+(Довідник!$I$68/100*Довідник!$J$68*('Виробничий план'!M23*1000))+(Довідник!$K$68*Довідник!$L$68*('Виробничий план'!M24*1000))</f>
        <v>2569.6</v>
      </c>
      <c r="N16" s="268">
        <f>SUM(B16:M16)</f>
        <v>36787.343999999997</v>
      </c>
      <c r="Q16" s="514"/>
      <c r="R16" s="514"/>
      <c r="S16" s="514"/>
      <c r="T16" s="514"/>
      <c r="U16" s="514"/>
      <c r="V16" s="514"/>
      <c r="W16" s="514"/>
    </row>
    <row r="17" spans="1:14" x14ac:dyDescent="0.25">
      <c r="A17" s="145" t="str">
        <f>Довідник!$A$55</f>
        <v>Сир кисломолочний</v>
      </c>
      <c r="B17" s="292">
        <f>(Довідник!$C$69/100*Довідник!$D$69*('Виробничий план'!B25*1000))+(Довідник!$E$69/100*Довідник!$F$69*('Виробничий план'!B25*1000))+(Довідник!$G$69*Довідник!$H$69*('Виробничий план'!B26*1000))+(Довідник!$I$69/100*Довідник!$J$69*('Виробничий план'!B25*1000))+(Довідник!$K$69*Довідник!$L$69*('Виробничий план'!B26*1000))</f>
        <v>11366.4</v>
      </c>
      <c r="C17" s="292">
        <f>(Довідник!$C$69/100*Довідник!$D$69*('Виробничий план'!C25*1000))+(Довідник!$E$69/100*Довідник!$F$69*('Виробничий план'!C25*1000))+(Довідник!$G$69*Довідник!$H$69*('Виробничий план'!C26*1000))+(Довідник!$I$69/100*Довідник!$J$69*('Виробничий план'!C25*1000))+(Довідник!$K$69*Довідник!$L$69*('Виробничий план'!C26*1000))</f>
        <v>13414.720000000001</v>
      </c>
      <c r="D17" s="292">
        <f>(Довідник!$C$69/100*Довідник!$D$69*('Виробничий план'!D25*1000))+(Довідник!$E$69/100*Довідник!$F$69*('Виробничий план'!D25*1000))+(Довідник!$G$69*Довідник!$H$69*('Виробничий план'!D26*1000))+(Довідник!$I$69/100*Довідник!$J$69*('Виробничий план'!D25*1000))+(Довідник!$K$69*Довідник!$L$69*('Виробничий план'!D26*1000))</f>
        <v>19692.288000000004</v>
      </c>
      <c r="E17" s="292">
        <f>(Довідник!$C$69/100*Довідник!$D$69*('Виробничий план'!E25*1000))+(Довідник!$E$69/100*Довідник!$F$69*('Виробничий план'!E25*1000))+(Довідник!$G$69*Довідник!$H$69*('Виробничий план'!E26*1000))+(Довідник!$I$69/100*Довідник!$J$69*('Виробничий план'!E25*1000))+(Довідник!$K$69*Довідник!$L$69*('Виробничий план'!E26*1000))</f>
        <v>21445.200000000004</v>
      </c>
      <c r="F17" s="292">
        <f>(Довідник!$C$69/100*Довідник!$D$69*('Виробничий план'!F25*1000))+(Довідник!$E$69/100*Довідник!$F$69*('Виробничий план'!F25*1000))+(Довідник!$G$69*Довідник!$H$69*('Виробничий план'!F26*1000))+(Довідник!$I$69/100*Довідник!$J$69*('Виробничий план'!F25*1000))+(Довідник!$K$69*Довідник!$L$69*('Виробничий план'!F26*1000))</f>
        <v>23964.160000000003</v>
      </c>
      <c r="G17" s="292">
        <f>(Довідник!$C$69/100*Довідник!$D$69*('Виробничий план'!G25*1000))+(Довідник!$E$69/100*Довідник!$F$69*('Виробничий план'!G25*1000))+(Довідник!$G$69*Довідник!$H$69*('Виробничий план'!G26*1000))+(Довідник!$I$69/100*Довідник!$J$69*('Виробничий план'!G25*1000))+(Довідник!$K$69*Довідник!$L$69*('Виробничий план'!G26*1000))</f>
        <v>23869.439999999999</v>
      </c>
      <c r="H17" s="292">
        <f>(Довідник!$C$69/100*Довідник!$D$69*('Виробничий план'!H25*1000))+(Довідник!$E$69/100*Довідник!$F$69*('Виробничий план'!H25*1000))+(Довідник!$G$69*Довідник!$H$69*('Виробничий план'!H26*1000))+(Довідник!$I$69/100*Довідник!$J$69*('Виробничий план'!H25*1000))+(Довідник!$K$69*Довідник!$L$69*('Виробничий план'!H26*1000))</f>
        <v>25006.080000000002</v>
      </c>
      <c r="I17" s="292">
        <f>(Довідник!$C$69/100*Довідник!$D$69*('Виробничий план'!I25*1000))+(Довідник!$E$69/100*Довідник!$F$69*('Виробничий план'!I25*1000))+(Довідник!$G$69*Довідник!$H$69*('Виробничий план'!I26*1000))+(Довідник!$I$69/100*Довідник!$J$69*('Виробничий план'!I25*1000))+(Довідник!$K$69*Довідник!$L$69*('Виробничий план'!I26*1000))</f>
        <v>26256.383999999998</v>
      </c>
      <c r="J17" s="292">
        <f>(Довідник!$C$69/100*Довідник!$D$69*('Виробничий план'!J25*1000))+(Довідник!$E$69/100*Довідник!$F$69*('Виробничий план'!J25*1000))+(Довідник!$G$69*Довідник!$H$69*('Виробничий план'!J26*1000))+(Довідник!$I$69/100*Довідник!$J$69*('Виробничий план'!J25*1000))+(Довідник!$K$69*Довідник!$L$69*('Виробничий план'!J26*1000))</f>
        <v>24428.880000000001</v>
      </c>
      <c r="K17" s="292">
        <f>(Довідник!$C$69/100*Довідник!$D$69*('Виробничий план'!K25*1000))+(Довідник!$E$69/100*Довідник!$F$69*('Виробничий план'!K25*1000))+(Довідник!$G$69*Довідник!$H$69*('Виробничий план'!K26*1000))+(Довідник!$I$69/100*Довідник!$J$69*('Виробничий план'!K25*1000))+(Довідник!$K$69*Довідник!$L$69*('Виробничий план'!K26*1000))</f>
        <v>20289.023999999998</v>
      </c>
      <c r="L17" s="292">
        <f>(Довідник!$C$69/100*Довідник!$D$69*('Виробничий план'!L25*1000))+(Довідник!$E$69/100*Довідник!$F$69*('Виробничий план'!L25*1000))+(Довідник!$G$69*Довідник!$H$69*('Виробничий план'!L26*1000))+(Довідник!$I$69/100*Довідник!$J$69*('Виробничий план'!L25*1000))+(Довідник!$K$69*Довідник!$L$69*('Виробничий план'!L26*1000))</f>
        <v>20459.520000000004</v>
      </c>
      <c r="M17" s="292">
        <f>(Довідник!$C$69/100*Довідник!$D$69*('Виробничий план'!M25*1000))+(Довідник!$E$69/100*Довідник!$F$69*('Виробничий план'!M25*1000))+(Довідник!$G$69*Довідник!$H$69*('Виробничий план'!M26*1000))+(Довідник!$I$69/100*Довідник!$J$69*('Виробничий план'!M25*1000))+(Довідник!$K$69*Довідник!$L$69*('Виробничий план'!M26*1000))</f>
        <v>17286.400000000001</v>
      </c>
      <c r="N17" s="269">
        <f t="shared" ref="N17:N21" si="2">SUM(B17:M17)</f>
        <v>247478.49600000001</v>
      </c>
    </row>
    <row r="18" spans="1:14" x14ac:dyDescent="0.25">
      <c r="A18" s="145" t="str">
        <f>Довідник!$A$56</f>
        <v>Кефір</v>
      </c>
      <c r="B18" s="292">
        <f>(Довідник!$C$70/100*Довідник!$D$70*('Виробничий план'!B27*1000))+(Довідник!$E$70/100*Довідник!$F$70*('Виробничий план'!B27*1000))+(Довідник!$G$70*Довідник!$H$70*('Виробничий план'!B28*1000))+(Довідник!$I$70/100*Довідник!$J$70*('Виробничий план'!B27*1000))+(Довідник!$K$70*Довідник!$L$70*('Виробничий план'!B28*1000))</f>
        <v>11712.372815533978</v>
      </c>
      <c r="C18" s="292">
        <f>(Довідник!$C$70/100*Довідник!$D$70*('Виробничий план'!C27*1000))+(Довідник!$E$70/100*Довідник!$F$70*('Виробничий план'!C27*1000))+(Довідник!$G$70*Довідник!$H$70*('Виробничий план'!C28*1000))+(Довідник!$I$70/100*Довідник!$J$70*('Виробничий план'!C27*1000))+(Довідник!$K$70*Довідник!$L$70*('Виробничий план'!C28*1000))</f>
        <v>13823.04</v>
      </c>
      <c r="D18" s="292">
        <f>(Довідник!$C$70/100*Довідник!$D$70*('Виробничий план'!D27*1000))+(Довідник!$E$70/100*Довідник!$F$70*('Виробничий план'!D27*1000))+(Довідник!$G$70*Довідник!$H$70*('Виробничий план'!D28*1000))+(Довідник!$I$70/100*Довідник!$J$70*('Виробничий план'!D27*1000))+(Довідник!$K$70*Довідник!$L$70*('Виробничий план'!D28*1000))</f>
        <v>20291.685902912624</v>
      </c>
      <c r="E18" s="292">
        <f>(Довідник!$C$70/100*Довідник!$D$70*('Виробничий план'!E27*1000))+(Довідник!$E$70/100*Довідник!$F$70*('Виробничий план'!E27*1000))+(Довідник!$G$70*Довідник!$H$70*('Виробничий план'!E28*1000))+(Довідник!$I$70/100*Довідник!$J$70*('Виробничий план'!E27*1000))+(Довідник!$K$70*Довідник!$L$70*('Виробничий план'!E28*1000))</f>
        <v>22097.953398058249</v>
      </c>
      <c r="F18" s="292">
        <f>(Довідник!$C$70/100*Довідник!$D$70*('Виробничий план'!F27*1000))+(Довідник!$E$70/100*Довідник!$F$70*('Виробничий план'!F27*1000))+(Довідник!$G$70*Довідник!$H$70*('Виробничий план'!F28*1000))+(Довідник!$I$70/100*Довідник!$J$70*('Виробничий план'!F27*1000))+(Довідник!$K$70*Довідник!$L$70*('Виробничий план'!F28*1000))</f>
        <v>24693.586019417475</v>
      </c>
      <c r="G18" s="292">
        <f>(Довідник!$C$70/100*Довідник!$D$70*('Виробничий план'!G27*1000))+(Довідник!$E$70/100*Довідник!$F$70*('Виробничий план'!G27*1000))+(Довідник!$G$70*Довідник!$H$70*('Виробничий план'!G28*1000))+(Довідник!$I$70/100*Довідник!$J$70*('Виробничий план'!G27*1000))+(Довідник!$K$70*Довідник!$L$70*('Виробничий план'!G28*1000))</f>
        <v>24595.982912621359</v>
      </c>
      <c r="H18" s="292">
        <f>(Довідник!$C$70/100*Довідник!$D$70*('Виробничий план'!H27*1000))+(Довідник!$E$70/100*Довідник!$F$70*('Виробничий план'!H27*1000))+(Довідник!$G$70*Довідник!$H$70*('Виробничий план'!H28*1000))+(Довідник!$I$70/100*Довідник!$J$70*('Виробничий план'!H27*1000))+(Довідник!$K$70*Довідник!$L$70*('Виробничий план'!H28*1000))</f>
        <v>25767.220194174755</v>
      </c>
      <c r="I18" s="292">
        <f>(Довідник!$C$70/100*Довідник!$D$70*('Виробничий план'!I27*1000))+(Довідник!$E$70/100*Довідник!$F$70*('Виробничий план'!I27*1000))+(Довідник!$G$70*Довідник!$H$70*('Виробничий план'!I28*1000))+(Довідник!$I$70/100*Довідник!$J$70*('Виробничий план'!I27*1000))+(Довідник!$K$70*Довідник!$L$70*('Виробничий план'!I28*1000))</f>
        <v>27055.581203883499</v>
      </c>
      <c r="J18" s="292">
        <f>(Довідник!$C$70/100*Довідник!$D$70*('Виробничий план'!J27*1000))+(Довідник!$E$70/100*Довідник!$F$70*('Виробничий план'!J27*1000))+(Довідник!$G$70*Довідник!$H$70*('Виробничий план'!J28*1000))+(Довідник!$I$70/100*Довідник!$J$70*('Виробничий план'!J27*1000))+(Довідник!$K$70*Довідник!$L$70*('Виробничий план'!J28*1000))</f>
        <v>25172.451262135924</v>
      </c>
      <c r="K18" s="292">
        <f>(Довідник!$C$70/100*Довідник!$D$70*('Виробничий план'!K27*1000))+(Довідник!$E$70/100*Довідник!$F$70*('Виробничий план'!K27*1000))+(Довідник!$G$70*Довідник!$H$70*('Виробничий план'!K28*1000))+(Довідник!$I$70/100*Довідник!$J$70*('Виробничий план'!K27*1000))+(Довідник!$K$70*Довідник!$L$70*('Виробничий план'!K28*1000))</f>
        <v>20906.585475728156</v>
      </c>
      <c r="L18" s="292">
        <f>(Довідник!$C$70/100*Довідник!$D$70*('Виробничий план'!L27*1000))+(Довідник!$E$70/100*Довідник!$F$70*('Виробничий план'!L27*1000))+(Довідник!$G$70*Довідник!$H$70*('Виробничий план'!L28*1000))+(Довідник!$I$70/100*Довідник!$J$70*('Виробничий план'!L27*1000))+(Довідник!$K$70*Довідник!$L$70*('Виробничий план'!L28*1000))</f>
        <v>21082.27106796117</v>
      </c>
      <c r="M18" s="292">
        <f>(Довідник!$C$70/100*Довідник!$D$70*('Виробничий план'!M27*1000))+(Довідник!$E$70/100*Довідник!$F$70*('Виробничий план'!M27*1000))+(Довідник!$G$70*Довідник!$H$70*('Виробничий план'!M28*1000))+(Довідник!$I$70/100*Довідник!$J$70*('Виробничий план'!M27*1000))+(Довідник!$K$70*Довідник!$L$70*('Виробничий план'!M28*1000))</f>
        <v>17812.56699029126</v>
      </c>
      <c r="N18" s="269">
        <f t="shared" si="2"/>
        <v>255011.29724271849</v>
      </c>
    </row>
    <row r="19" spans="1:14" x14ac:dyDescent="0.25">
      <c r="A19" s="145" t="str">
        <f>Довідник!$A$57</f>
        <v>Сметана</v>
      </c>
      <c r="B19" s="292">
        <f>(Довідник!$C$71/100*Довідник!$D$71*('Виробничий план'!B29*1000))+(Довідник!$E$71/100*Довідник!$F$71*('Виробничий план'!B29*1000))+(Довідник!$G$71*Довідник!$H$71*('Виробничий план'!B30*1000))+(Довідник!$I$71/100*Довідник!$J$71*('Виробничий план'!B29*1000))+(Довідник!$K$71*Довідник!$L$71*('Виробничий план'!B30*1000))</f>
        <v>2238.1714285714288</v>
      </c>
      <c r="C19" s="292">
        <f>(Довідник!$C$71/100*Довідник!$D$71*('Виробничий план'!C29*1000))+(Довідник!$E$71/100*Довідник!$F$71*('Виробничий план'!C29*1000))+(Довідник!$G$71*Довідник!$H$71*('Виробничий план'!C30*1000))+(Довідник!$I$71/100*Довідник!$J$71*('Виробничий план'!C29*1000))+(Довідник!$K$71*Довідник!$L$71*('Виробничий план'!C30*1000))</f>
        <v>2641.5085714285715</v>
      </c>
      <c r="D19" s="292">
        <f>(Довідник!$C$71/100*Довідник!$D$71*('Виробничий план'!D29*1000))+(Довідник!$E$71/100*Довідник!$F$71*('Виробничий план'!D29*1000))+(Довідник!$G$71*Довідник!$H$71*('Виробничий план'!D30*1000))+(Довідник!$I$71/100*Довідник!$J$71*('Виробничий план'!D29*1000))+(Довідник!$K$71*Довідник!$L$71*('Виробничий план'!D30*1000))</f>
        <v>3877.6320000000005</v>
      </c>
      <c r="E19" s="292">
        <f>(Довідник!$C$71/100*Довідник!$D$71*('Виробничий план'!E29*1000))+(Довідник!$E$71/100*Довідник!$F$71*('Виробничий план'!E29*1000))+(Довідник!$G$71*Довідник!$H$71*('Виробничий план'!E30*1000))+(Довідник!$I$71/100*Довідник!$J$71*('Виробничий план'!E29*1000))+(Довідник!$K$71*Довідник!$L$71*('Виробничий план'!E30*1000))</f>
        <v>4222.8</v>
      </c>
      <c r="F19" s="292">
        <f>(Довідник!$C$71/100*Довідник!$D$71*('Виробничий план'!F29*1000))+(Довідник!$E$71/100*Довідник!$F$71*('Виробничий план'!F29*1000))+(Довідник!$G$71*Довідник!$H$71*('Виробничий план'!F30*1000))+(Довідник!$I$71/100*Довідник!$J$71*('Виробничий план'!F29*1000))+(Довідник!$K$71*Довідник!$L$71*('Виробничий план'!F30*1000))</f>
        <v>4718.8114285714291</v>
      </c>
      <c r="G19" s="292">
        <f>(Довідник!$C$71/100*Довідник!$D$71*('Виробничий план'!G29*1000))+(Довідник!$E$71/100*Довідник!$F$71*('Виробничий план'!G29*1000))+(Довідник!$G$71*Довідник!$H$71*('Виробничий план'!G30*1000))+(Довідник!$I$71/100*Довідник!$J$71*('Виробничий план'!G29*1000))+(Довідник!$K$71*Довідник!$L$71*('Виробничий план'!G30*1000))</f>
        <v>4700.16</v>
      </c>
      <c r="H19" s="292">
        <f>(Довідник!$C$71/100*Довідник!$D$71*('Виробничий план'!H29*1000))+(Довідник!$E$71/100*Довідник!$F$71*('Виробничий план'!H29*1000))+(Довідник!$G$71*Довідник!$H$71*('Виробничий план'!H30*1000))+(Довідник!$I$71/100*Довідник!$J$71*('Виробничий план'!H29*1000))+(Довідник!$K$71*Довідник!$L$71*('Виробничий план'!H30*1000))</f>
        <v>4923.977142857143</v>
      </c>
      <c r="I19" s="292">
        <f>(Довідник!$C$71/100*Довідник!$D$71*('Виробничий план'!I29*1000))+(Довідник!$E$71/100*Довідник!$F$71*('Виробничий план'!I29*1000))+(Довідник!$G$71*Довідник!$H$71*('Виробничий план'!I30*1000))+(Довідник!$I$71/100*Довідник!$J$71*('Виробничий план'!I29*1000))+(Довідник!$K$71*Довідник!$L$71*('Виробничий план'!I30*1000))</f>
        <v>5170.1760000000004</v>
      </c>
      <c r="J19" s="292">
        <f>(Довідник!$C$71/100*Довідник!$D$71*('Виробничий план'!J29*1000))+(Довідник!$E$71/100*Довідник!$F$71*('Виробничий план'!J29*1000))+(Довідник!$G$71*Довідник!$H$71*('Виробничий план'!J30*1000))+(Довідник!$I$71/100*Довідник!$J$71*('Виробничий план'!J29*1000))+(Довідник!$K$71*Довідник!$L$71*('Виробничий план'!J30*1000))</f>
        <v>4810.32</v>
      </c>
      <c r="K19" s="292">
        <f>(Довідник!$C$71/100*Довідник!$D$71*('Виробничий план'!K29*1000))+(Довідник!$E$71/100*Довідник!$F$71*('Виробничий план'!K29*1000))+(Довідник!$G$71*Довідник!$H$71*('Виробничий план'!K30*1000))+(Довідник!$I$71/100*Довідник!$J$71*('Виробничий план'!K29*1000))+(Довідник!$K$71*Довідник!$L$71*('Виробничий план'!K30*1000))</f>
        <v>3995.1359999999995</v>
      </c>
      <c r="L19" s="292">
        <f>(Довідник!$C$71/100*Довідник!$D$71*('Виробничий план'!L29*1000))+(Довідник!$E$71/100*Довідник!$F$71*('Виробничий план'!L29*1000))+(Довідник!$G$71*Довідник!$H$71*('Виробничий план'!L30*1000))+(Довідник!$I$71/100*Довідник!$J$71*('Виробничий план'!L29*1000))+(Довідник!$K$71*Довідник!$L$71*('Виробничий план'!L30*1000))</f>
        <v>4028.7085714285718</v>
      </c>
      <c r="M19" s="292">
        <f>(Довідник!$C$71/100*Довідник!$D$71*('Виробничий план'!M29*1000))+(Довідник!$E$71/100*Довідник!$F$71*('Виробничий план'!M29*1000))+(Довідник!$G$71*Довідник!$H$71*('Виробничий план'!M30*1000))+(Довідник!$I$71/100*Довідник!$J$71*('Виробничий план'!M29*1000))+(Довідник!$K$71*Довідник!$L$71*('Виробничий план'!M30*1000))</f>
        <v>3403.8857142857141</v>
      </c>
      <c r="N19" s="269">
        <f t="shared" si="2"/>
        <v>48731.286857142863</v>
      </c>
    </row>
    <row r="20" spans="1:14" x14ac:dyDescent="0.25">
      <c r="A20" s="145" t="str">
        <f>Довідник!$A$58</f>
        <v>Сир м'який</v>
      </c>
      <c r="B20" s="292">
        <f>(Довідник!$C$72/100*Довідник!$D$72*('Виробничий план'!B31*1000))+(Довідник!$E$72/100*Довідник!$F$72*('Виробничий план'!B31*1000))+(Довідник!$G$72*Довідник!$H$72*('Виробничий план'!B32*1000))+(Довідник!$I$72/100*Довідник!$J$72*('Виробничий план'!B31*1000))+(Довідник!$K$72*Довідник!$L$72*('Виробничий план'!B32*1000))</f>
        <v>10137.599999999999</v>
      </c>
      <c r="C20" s="292">
        <f>(Довідник!$C$72/100*Довідник!$D$72*('Виробничий план'!C31*1000))+(Довідник!$E$72/100*Довідник!$F$72*('Виробничий план'!C31*1000))+(Довідник!$G$72*Довідник!$H$72*('Виробничий план'!C32*1000))+(Довідник!$I$72/100*Довідник!$J$72*('Виробничий план'!C31*1000))+(Довідник!$K$72*Довідник!$L$72*('Виробничий план'!C32*1000))</f>
        <v>11964.480000000001</v>
      </c>
      <c r="D20" s="292">
        <f>(Довідник!$C$72/100*Довідник!$D$72*('Виробничий план'!D31*1000))+(Довідник!$E$72/100*Довідник!$F$72*('Виробничий план'!D31*1000))+(Довідник!$G$72*Довідник!$H$72*('Виробничий план'!D32*1000))+(Довідник!$I$72/100*Довідник!$J$72*('Виробничий план'!D31*1000))+(Довідник!$K$72*Довідник!$L$72*('Виробничий план'!D32*1000))</f>
        <v>17563.392000000003</v>
      </c>
      <c r="E20" s="292">
        <f>(Довідник!$C$72/100*Довідник!$D$72*('Виробничий план'!E31*1000))+(Довідник!$E$72/100*Довідник!$F$72*('Виробничий план'!E31*1000))+(Довідник!$G$72*Довідник!$H$72*('Виробничий план'!E32*1000))+(Довідник!$I$72/100*Довідник!$J$72*('Виробничий план'!E31*1000))+(Довідник!$K$72*Довідник!$L$72*('Виробничий план'!E32*1000))</f>
        <v>19126.799999999996</v>
      </c>
      <c r="F20" s="292">
        <f>(Довідник!$C$72/100*Довідник!$D$72*('Виробничий план'!F31*1000))+(Довідник!$E$72/100*Довідник!$F$72*('Виробничий план'!F31*1000))+(Довідник!$G$72*Довідник!$H$72*('Виробничий план'!F32*1000))+(Довідник!$I$72/100*Довідник!$J$72*('Виробничий план'!F31*1000))+(Довідник!$K$72*Довідник!$L$72*('Виробничий план'!F32*1000))</f>
        <v>21373.440000000002</v>
      </c>
      <c r="G20" s="292">
        <f>(Довідник!$C$72/100*Довідник!$D$72*('Виробничий план'!G31*1000))+(Довідник!$E$72/100*Довідник!$F$72*('Виробничий план'!G31*1000))+(Довідник!$G$72*Довідник!$H$72*('Виробничий план'!G32*1000))+(Довідник!$I$72/100*Довідник!$J$72*('Виробничий план'!G31*1000))+(Довідник!$K$72*Довідник!$L$72*('Виробничий план'!G32*1000))</f>
        <v>21288.959999999999</v>
      </c>
      <c r="H20" s="292">
        <f>(Довідник!$C$72/100*Довідник!$D$72*('Виробничий план'!H31*1000))+(Довідник!$E$72/100*Довідник!$F$72*('Виробничий план'!H31*1000))+(Довідник!$G$72*Довідник!$H$72*('Виробничий план'!H32*1000))+(Довідник!$I$72/100*Довідник!$J$72*('Виробничий план'!H31*1000))+(Довідник!$K$72*Довідник!$L$72*('Виробничий план'!H32*1000))</f>
        <v>22302.719999999998</v>
      </c>
      <c r="I20" s="292">
        <f>(Довідник!$C$72/100*Довідник!$D$72*('Виробничий план'!I31*1000))+(Довідник!$E$72/100*Довідник!$F$72*('Виробничий план'!I31*1000))+(Довідник!$G$72*Довідник!$H$72*('Виробничий план'!I32*1000))+(Довідник!$I$72/100*Довідник!$J$72*('Виробничий план'!I31*1000))+(Довідник!$K$72*Довідник!$L$72*('Виробничий план'!I32*1000))</f>
        <v>23417.856000000007</v>
      </c>
      <c r="J20" s="292">
        <f>(Довідник!$C$72/100*Довідник!$D$72*('Виробничий план'!J31*1000))+(Довідник!$E$72/100*Довідник!$F$72*('Виробничий план'!J31*1000))+(Довідник!$G$72*Довідник!$H$72*('Виробничий план'!J32*1000))+(Довідник!$I$72/100*Довідник!$J$72*('Виробничий план'!J31*1000))+(Довідник!$K$72*Довідник!$L$72*('Виробничий план'!J32*1000))</f>
        <v>21787.920000000002</v>
      </c>
      <c r="K20" s="292">
        <f>(Довідник!$C$72/100*Довідник!$D$72*('Виробничий план'!K31*1000))+(Довідник!$E$72/100*Довідник!$F$72*('Виробничий план'!K31*1000))+(Довідник!$G$72*Довідник!$H$72*('Виробничий план'!K32*1000))+(Довідник!$I$72/100*Довідник!$J$72*('Виробничий план'!K31*1000))+(Довідник!$K$72*Довідник!$L$72*('Виробничий план'!K32*1000))</f>
        <v>18095.615999999998</v>
      </c>
      <c r="L20" s="292">
        <f>(Довідник!$C$72/100*Довідник!$D$72*('Виробничий план'!L31*1000))+(Довідник!$E$72/100*Довідник!$F$72*('Виробничий план'!L31*1000))+(Довідник!$G$72*Довідник!$H$72*('Виробничий план'!L32*1000))+(Довідник!$I$72/100*Довідник!$J$72*('Виробничий план'!L31*1000))+(Довідник!$K$72*Довідник!$L$72*('Виробничий план'!L32*1000))</f>
        <v>18247.680000000004</v>
      </c>
      <c r="M20" s="292">
        <f>(Довідник!$C$72/100*Довідник!$D$72*('Виробничий план'!M31*1000))+(Довідник!$E$72/100*Довідник!$F$72*('Виробничий план'!M31*1000))+(Довідник!$G$72*Довідник!$H$72*('Виробничий план'!M32*1000))+(Довідник!$I$72/100*Довідник!$J$72*('Виробничий план'!M31*1000))+(Довідник!$K$72*Довідник!$L$72*('Виробничий план'!M32*1000))</f>
        <v>15417.599999999999</v>
      </c>
      <c r="N20" s="269">
        <f t="shared" si="2"/>
        <v>220724.06400000001</v>
      </c>
    </row>
    <row r="21" spans="1:14" ht="13.8" thickBot="1" x14ac:dyDescent="0.3">
      <c r="A21" s="270" t="str">
        <f>Довідник!$A$61</f>
        <v>Сир Рікотта</v>
      </c>
      <c r="B21" s="293">
        <f>(Довідник!$C$75/100*Довідник!$D$75*('Виробничий план'!B33*1000))+(Довідник!$E$75/100*Довідник!$F$75*('Виробничий план'!B33*1000))+(Довідник!$G$75*Довідник!$H$75*('Виробничий план'!B34*1000))+(Довідник!$I$75/100*Довідник!$J$75*('Виробничий план'!B33*1000))+(Довідник!$K$75*Довідник!$L$75*('Виробничий план'!B34*1000))</f>
        <v>6359.1358668515968</v>
      </c>
      <c r="C21" s="293">
        <f>(Довідник!$C$75/100*Довідник!$D$75*('Виробничий план'!C33*1000))+(Довідник!$E$75/100*Довідник!$F$75*('Виробничий план'!C33*1000))+(Довідник!$G$75*Довідник!$H$75*('Виробничий план'!C34*1000))+(Довідник!$I$75/100*Довідник!$J$75*('Виробничий план'!C33*1000))+(Довідник!$K$75*Довідник!$L$75*('Виробничий план'!C34*1000))</f>
        <v>7505.1051428571454</v>
      </c>
      <c r="D21" s="293">
        <f>(Довідник!$C$75/100*Довідник!$D$75*('Виробничий план'!D33*1000))+(Довідник!$E$75/100*Довідник!$F$75*('Виробничий план'!D33*1000))+(Довідник!$G$75*Довідник!$H$75*('Виробничий план'!D34*1000))+(Довідник!$I$75/100*Довідник!$J$75*('Виробничий план'!D33*1000))+(Довідник!$K$75*Довідник!$L$75*('Виробничий план'!D34*1000))</f>
        <v>11017.202889320391</v>
      </c>
      <c r="E21" s="293">
        <f>(Довідник!$C$75/100*Довідник!$D$75*('Виробничий план'!E33*1000))+(Довідник!$E$75/100*Довідник!$F$75*('Виробничий план'!E33*1000))+(Довідник!$G$75*Довідник!$H$75*('Виробничий план'!E34*1000))+(Довідник!$I$75/100*Довідник!$J$75*('Виробничий план'!E33*1000))+(Довідник!$K$75*Довідник!$L$75*('Виробничий план'!E34*1000))</f>
        <v>11997.900873786406</v>
      </c>
      <c r="F21" s="293">
        <f>(Довідник!$C$75/100*Довідник!$D$75*('Виробничий план'!F33*1000))+(Довідник!$E$75/100*Довідник!$F$75*('Виробничий план'!F33*1000))+(Довідник!$G$75*Довідник!$H$75*('Виробничий план'!F34*1000))+(Довідник!$I$75/100*Довідник!$J$75*('Виробничий план'!F33*1000))+(Довідник!$K$75*Довідник!$L$75*('Виробничий план'!F34*1000))</f>
        <v>13407.178119278778</v>
      </c>
      <c r="G21" s="293">
        <f>(Довідник!$C$75/100*Довідник!$D$75*('Виробничий план'!G33*1000))+(Довідник!$E$75/100*Довідник!$F$75*('Виробничий план'!G33*1000))+(Довідник!$G$75*Довідник!$H$75*('Виробничий план'!G34*1000))+(Довідник!$I$75/100*Довідник!$J$75*('Виробничий план'!G33*1000))+(Довідник!$K$75*Довідник!$L$75*('Виробничий план'!G34*1000))</f>
        <v>13354.185320388351</v>
      </c>
      <c r="H21" s="293">
        <f>(Довідник!$C$75/100*Довідник!$D$75*('Виробничий план'!H33*1000))+(Довідник!$E$75/100*Довідник!$F$75*('Виробничий план'!H33*1000))+(Довідник!$G$75*Довідник!$H$75*('Виробничий план'!H34*1000))+(Довідник!$I$75/100*Довідник!$J$75*('Виробничий план'!H33*1000))+(Довідник!$K$75*Довідник!$L$75*('Виробничий план'!H34*1000))</f>
        <v>13990.098907073512</v>
      </c>
      <c r="I21" s="293">
        <f>(Довідник!$C$75/100*Довідник!$D$75*('Виробничий план'!I33*1000))+(Довідник!$E$75/100*Довідник!$F$75*('Виробничий план'!I33*1000))+(Довідник!$G$75*Довідник!$H$75*('Виробничий план'!I34*1000))+(Довідник!$I$75/100*Довідник!$J$75*('Виробничий план'!I33*1000))+(Довідник!$K$75*Довідник!$L$75*('Виробничий план'!I34*1000))</f>
        <v>14689.603852427186</v>
      </c>
      <c r="J21" s="293">
        <f>(Довідник!$C$75/100*Довідник!$D$75*('Виробничий план'!J33*1000))+(Довідник!$E$75/100*Довідник!$F$75*('Виробничий план'!J33*1000))+(Довідник!$G$75*Довідник!$H$75*('Виробничий план'!J34*1000))+(Довідник!$I$75/100*Довідник!$J$75*('Виробничий план'!J33*1000))+(Довідник!$K$75*Довідник!$L$75*('Виробничий план'!J34*1000))</f>
        <v>13667.174038834952</v>
      </c>
      <c r="K21" s="293">
        <f>(Довідник!$C$75/100*Довідник!$D$75*('Виробничий план'!K33*1000))+(Довідник!$E$75/100*Довідник!$F$75*('Виробничий план'!K33*1000))+(Довідник!$G$75*Довідник!$H$75*('Виробничий план'!K34*1000))+(Довідник!$I$75/100*Довідник!$J$75*('Виробничий план'!K33*1000))+(Довідник!$K$75*Довідник!$L$75*('Виробничий план'!K34*1000))</f>
        <v>11351.057522330098</v>
      </c>
      <c r="L21" s="293">
        <f>(Довідник!$C$75/100*Довідник!$D$75*('Виробничий план'!L33*1000))+(Довідник!$E$75/100*Довідник!$F$75*('Виробничий план'!L33*1000))+(Довідник!$G$75*Довідник!$H$75*('Виробничий план'!L34*1000))+(Довідник!$I$75/100*Довідник!$J$75*('Виробничий план'!L33*1000))+(Довідник!$K$75*Довідник!$L$75*('Виробничий план'!L34*1000))</f>
        <v>11446.444560332868</v>
      </c>
      <c r="M21" s="293">
        <f>(Довідник!$C$75/100*Довідник!$D$75*('Виробничий план'!M33*1000))+(Довідник!$E$75/100*Довідник!$F$75*('Виробничий план'!M33*1000))+(Довідник!$G$75*Довідник!$H$75*('Виробничий план'!M34*1000))+(Довідник!$I$75/100*Довідник!$J$75*('Виробничий план'!M33*1000))+(Довідник!$K$75*Довідник!$L$75*('Виробничий план'!M34*1000))</f>
        <v>9671.1857975034691</v>
      </c>
      <c r="N21" s="272">
        <f t="shared" si="2"/>
        <v>138456.27289098475</v>
      </c>
    </row>
    <row r="22" spans="1:14" ht="13.8" thickBot="1" x14ac:dyDescent="0.3">
      <c r="A22" s="273" t="s">
        <v>308</v>
      </c>
      <c r="B22" s="274">
        <f>SUM(B16:B21)</f>
        <v>43503.280110957006</v>
      </c>
      <c r="C22" s="274">
        <f t="shared" ref="C22" si="3">SUM(C16:C21)</f>
        <v>51342.933714285718</v>
      </c>
      <c r="D22" s="274">
        <f t="shared" ref="D22" si="4">SUM(D16:D21)</f>
        <v>75369.432792233027</v>
      </c>
      <c r="E22" s="274">
        <f t="shared" ref="E22" si="5">SUM(E16:E21)</f>
        <v>82078.454271844661</v>
      </c>
      <c r="F22" s="274">
        <f t="shared" ref="F22" si="6">SUM(F16:F21)</f>
        <v>91719.415567267686</v>
      </c>
      <c r="G22" s="274">
        <f t="shared" ref="G22" si="7">SUM(G16:G21)</f>
        <v>91356.888233009697</v>
      </c>
      <c r="H22" s="274">
        <f t="shared" ref="H22" si="8">SUM(H16:H21)</f>
        <v>95707.21624410541</v>
      </c>
      <c r="I22" s="274">
        <f t="shared" ref="I22" si="9">SUM(I16:I21)</f>
        <v>100492.57705631069</v>
      </c>
      <c r="J22" s="274">
        <f t="shared" ref="J22" si="10">SUM(J16:J21)</f>
        <v>93498.065300970891</v>
      </c>
      <c r="K22" s="274">
        <f t="shared" ref="K22" si="11">SUM(K16:K21)</f>
        <v>77653.354998058247</v>
      </c>
      <c r="L22" s="274">
        <f t="shared" ref="L22" si="12">SUM(L16:L21)</f>
        <v>78305.904199722616</v>
      </c>
      <c r="M22" s="274">
        <f t="shared" ref="M22" si="13">SUM(M16:M21)</f>
        <v>66161.23850208045</v>
      </c>
      <c r="N22" s="275">
        <f t="shared" ref="N22" si="14">SUM(N16:N21)</f>
        <v>947188.76099084609</v>
      </c>
    </row>
    <row r="25" spans="1:14" ht="14.4" customHeight="1" thickBot="1" x14ac:dyDescent="0.3">
      <c r="A25" s="486" t="s">
        <v>307</v>
      </c>
      <c r="B25" s="486"/>
      <c r="C25" s="486"/>
      <c r="D25" s="486"/>
      <c r="E25" s="486"/>
      <c r="F25" s="486"/>
      <c r="G25" s="486"/>
      <c r="H25" s="486"/>
      <c r="I25" s="486"/>
      <c r="J25" s="486"/>
      <c r="K25" s="486"/>
      <c r="L25" s="486"/>
      <c r="M25" s="486"/>
      <c r="N25" s="486"/>
    </row>
    <row r="26" spans="1:14" x14ac:dyDescent="0.25">
      <c r="A26" s="487" t="s">
        <v>32</v>
      </c>
      <c r="B26" s="489" t="s">
        <v>33</v>
      </c>
      <c r="C26" s="490"/>
      <c r="D26" s="490"/>
      <c r="E26" s="490"/>
      <c r="F26" s="490"/>
      <c r="G26" s="490"/>
      <c r="H26" s="490"/>
      <c r="I26" s="490"/>
      <c r="J26" s="490"/>
      <c r="K26" s="490"/>
      <c r="L26" s="490"/>
      <c r="M26" s="491"/>
      <c r="N26" s="492" t="s">
        <v>209</v>
      </c>
    </row>
    <row r="27" spans="1:14" ht="13.8" thickBot="1" x14ac:dyDescent="0.3">
      <c r="A27" s="488"/>
      <c r="B27" s="249" t="s">
        <v>34</v>
      </c>
      <c r="C27" s="266" t="s">
        <v>35</v>
      </c>
      <c r="D27" s="266" t="s">
        <v>36</v>
      </c>
      <c r="E27" s="266" t="s">
        <v>37</v>
      </c>
      <c r="F27" s="266" t="s">
        <v>38</v>
      </c>
      <c r="G27" s="266" t="s">
        <v>39</v>
      </c>
      <c r="H27" s="266" t="s">
        <v>40</v>
      </c>
      <c r="I27" s="266" t="s">
        <v>41</v>
      </c>
      <c r="J27" s="266" t="s">
        <v>42</v>
      </c>
      <c r="K27" s="266" t="s">
        <v>43</v>
      </c>
      <c r="L27" s="266" t="s">
        <v>44</v>
      </c>
      <c r="M27" s="266" t="s">
        <v>45</v>
      </c>
      <c r="N27" s="493"/>
    </row>
    <row r="28" spans="1:14" x14ac:dyDescent="0.25">
      <c r="A28" s="145" t="str">
        <f>Довідник!$A$54</f>
        <v>Молоко питне</v>
      </c>
      <c r="B28" s="267">
        <f>(Довідник!$C$68/100*Довідник!$D$68*('Виробничий план'!B41*1000))+(Довідник!$E$68/100*Довідник!$F$68*('Виробничий план'!B41*1000))+(Довідник!$G$68*Довідник!$H$68*('Виробничий план'!B42*1000))+(Довідник!$I$68/100*Довідник!$J$68*('Виробничий план'!B41*1000))+(Довідник!$K$68*Довідник!$L$68*('Виробничий план'!B42*1000))</f>
        <v>2569.6</v>
      </c>
      <c r="C28" s="267">
        <f>(Довідник!$C$68/100*Довідник!$D$68*('Виробничий план'!C41*1000))+(Довідник!$E$68/100*Довідник!$F$68*('Виробничий план'!C41*1000))+(Довідник!$G$68*Довідник!$H$68*('Виробничий план'!C42*1000))+(Довідник!$I$68/100*Довідник!$J$68*('Виробничий план'!C41*1000))+(Довідник!$K$68*Довідник!$L$68*('Виробничий план'!C42*1000))</f>
        <v>3189.12</v>
      </c>
      <c r="D28" s="267">
        <f>(Довідник!$C$68/100*Довідник!$D$68*('Виробничий план'!D41*1000))+(Довідник!$E$68/100*Довідник!$F$68*('Виробничий план'!D41*1000))+(Довідник!$G$68*Довідник!$H$68*('Виробничий план'!D42*1000))+(Довідник!$I$68/100*Довідник!$J$68*('Виробничий план'!D41*1000))+(Довідник!$K$68*Довідник!$L$68*('Виробничий план'!D42*1000))</f>
        <v>4255.3280000000004</v>
      </c>
      <c r="E28" s="267">
        <f>(Довідник!$C$68/100*Довідник!$D$68*('Виробничий план'!E41*1000))+(Довідник!$E$68/100*Довідник!$F$68*('Виробничий план'!E41*1000))+(Довідник!$G$68*Довідник!$H$68*('Виробничий план'!E42*1000))+(Довідник!$I$68/100*Довідник!$J$68*('Виробничий план'!E41*1000))+(Довідник!$K$68*Довідник!$L$68*('Виробничий план'!E42*1000))</f>
        <v>4462.92</v>
      </c>
      <c r="F28" s="267">
        <f>(Довідник!$C$68/100*Довідник!$D$68*('Виробничий план'!F41*1000))+(Довідник!$E$68/100*Довідник!$F$68*('Виробничий план'!F41*1000))+(Довідник!$G$68*Довідник!$H$68*('Виробничий план'!F42*1000))+(Довідник!$I$68/100*Довідник!$J$68*('Виробничий план'!F41*1000))+(Довідник!$K$68*Довідник!$L$68*('Виробничий план'!F42*1000))</f>
        <v>5142.0160000000005</v>
      </c>
      <c r="G28" s="267">
        <f>(Довідник!$C$68/100*Довідник!$D$68*('Виробничий план'!G41*1000))+(Довідник!$E$68/100*Довідник!$F$68*('Виробничий план'!G41*1000))+(Довідник!$G$68*Довідник!$H$68*('Виробничий план'!G42*1000))+(Довідник!$I$68/100*Довідник!$J$68*('Виробничий план'!G41*1000))+(Довідник!$K$68*Довідник!$L$68*('Виробничий план'!G42*1000))</f>
        <v>5215.0560000000005</v>
      </c>
      <c r="H28" s="267">
        <f>(Довідник!$C$68/100*Довідник!$D$68*('Виробничий план'!H41*1000))+(Довідник!$E$68/100*Довідник!$F$68*('Виробничий план'!H41*1000))+(Довідник!$G$68*Довідник!$H$68*('Виробничий план'!H42*1000))+(Довідник!$I$68/100*Довідник!$J$68*('Виробничий план'!H41*1000))+(Довідник!$K$68*Довідник!$L$68*('Виробничий план'!H42*1000))</f>
        <v>5496.3040000000001</v>
      </c>
      <c r="I28" s="267">
        <f>(Довідник!$C$68/100*Довідник!$D$68*('Виробничий план'!I41*1000))+(Довідник!$E$68/100*Довідник!$F$68*('Виробничий план'!I41*1000))+(Довідник!$G$68*Довідник!$H$68*('Виробничий план'!I42*1000))+(Довідник!$I$68/100*Довідник!$J$68*('Виробничий план'!I41*1000))+(Довідник!$K$68*Довідник!$L$68*('Виробничий план'!I42*1000))</f>
        <v>5496.3040000000001</v>
      </c>
      <c r="J28" s="267">
        <f>(Довідник!$C$68/100*Довідник!$D$68*('Виробничий план'!J41*1000))+(Довідник!$E$68/100*Довідник!$F$68*('Виробничий план'!J41*1000))+(Довідник!$G$68*Довідник!$H$68*('Виробничий план'!J42*1000))+(Довідник!$I$68/100*Довідник!$J$68*('Виробничий план'!J41*1000))+(Довідник!$K$68*Довідник!$L$68*('Виробничий план'!J42*1000))</f>
        <v>5115.2640000000001</v>
      </c>
      <c r="K28" s="267">
        <f>(Довідник!$C$68/100*Довідник!$D$68*('Виробничий план'!K41*1000))+(Довідник!$E$68/100*Довідник!$F$68*('Виробничий план'!K41*1000))+(Довідник!$G$68*Довідник!$H$68*('Виробничий план'!K42*1000))+(Довідник!$I$68/100*Довідник!$J$68*('Виробничий план'!K41*1000))+(Довідник!$K$68*Довідник!$L$68*('Виробничий план'!K42*1000))</f>
        <v>4934.16</v>
      </c>
      <c r="L28" s="267">
        <f>(Довідник!$C$68/100*Довідник!$D$68*('Виробничий план'!L41*1000))+(Довідник!$E$68/100*Довідник!$F$68*('Виробничий план'!L41*1000))+(Довідник!$G$68*Довідник!$H$68*('Виробничий план'!L42*1000))+(Довідник!$I$68/100*Довідник!$J$68*('Виробничий план'!L41*1000))+(Довідник!$K$68*Довідник!$L$68*('Виробничий план'!L42*1000))</f>
        <v>3801.6000000000004</v>
      </c>
      <c r="M28" s="267">
        <f>(Довідник!$C$68/100*Довідник!$D$68*('Виробничий план'!M41*1000))+(Довідник!$E$68/100*Довідник!$F$68*('Виробничий план'!M41*1000))+(Довідник!$G$68*Довідник!$H$68*('Виробничий план'!M42*1000))+(Довідник!$I$68/100*Довідник!$J$68*('Виробничий план'!M41*1000))+(Довідник!$K$68*Довідник!$L$68*('Виробничий план'!M42*1000))</f>
        <v>3203.2</v>
      </c>
      <c r="N28" s="268">
        <f>SUM(B28:M28)</f>
        <v>52880.871999999996</v>
      </c>
    </row>
    <row r="29" spans="1:14" x14ac:dyDescent="0.25">
      <c r="A29" s="145" t="str">
        <f>Довідник!$A$55</f>
        <v>Сир кисломолочний</v>
      </c>
      <c r="B29" s="292">
        <f>(Довідник!$C$69/100*Довідник!$D$69*('Виробничий план'!B43*1000))+(Довідник!$E$69/100*Довідник!$F$69*('Виробничий план'!B43*1000))+(Довідник!$G$69*Довідник!$H$69*('Виробничий план'!B44*1000))+(Довідник!$I$69/100*Довідник!$J$69*('Виробничий план'!B43*1000))+(Довідник!$K$69*Довідник!$L$69*('Виробничий план'!B44*1000))</f>
        <v>17286.400000000001</v>
      </c>
      <c r="C29" s="292">
        <f>(Довідник!$C$69/100*Довідник!$D$69*('Виробничий план'!C43*1000))+(Довідник!$E$69/100*Довідник!$F$69*('Виробничий план'!C43*1000))+(Довідник!$G$69*Довідник!$H$69*('Виробничий план'!C44*1000))+(Довідник!$I$69/100*Довідник!$J$69*('Виробничий план'!C43*1000))+(Довідник!$K$69*Довідник!$L$69*('Виробничий план'!C44*1000))</f>
        <v>21454.080000000002</v>
      </c>
      <c r="D29" s="292">
        <f>(Довідник!$C$69/100*Довідник!$D$69*('Виробничий план'!D43*1000))+(Довідник!$E$69/100*Довідник!$F$69*('Виробничий план'!D43*1000))+(Довідник!$G$69*Довідник!$H$69*('Виробничий план'!D44*1000))+(Довідник!$I$69/100*Довідник!$J$69*('Виробничий план'!D43*1000))+(Довідник!$K$69*Довідник!$L$69*('Виробничий план'!D44*1000))</f>
        <v>28626.752</v>
      </c>
      <c r="E29" s="292">
        <f>(Довідник!$C$69/100*Довідник!$D$69*('Виробничий план'!E43*1000))+(Довідник!$E$69/100*Довідник!$F$69*('Виробничий план'!E43*1000))+(Довідник!$G$69*Довідник!$H$69*('Виробничий план'!E44*1000))+(Довідник!$I$69/100*Довідник!$J$69*('Виробничий план'!E43*1000))+(Довідник!$K$69*Довідник!$L$69*('Виробничий план'!E44*1000))</f>
        <v>30023.279999999999</v>
      </c>
      <c r="F29" s="292">
        <f>(Довідник!$C$69/100*Довідник!$D$69*('Виробничий план'!F43*1000))+(Довідник!$E$69/100*Довідник!$F$69*('Виробничий план'!F43*1000))+(Довідник!$G$69*Довідник!$H$69*('Виробничий план'!F44*1000))+(Довідник!$I$69/100*Довідник!$J$69*('Виробничий план'!F43*1000))+(Довідник!$K$69*Довідник!$L$69*('Виробничий план'!F44*1000))</f>
        <v>34591.743999999999</v>
      </c>
      <c r="G29" s="292">
        <f>(Довідник!$C$69/100*Довідник!$D$69*('Виробничий план'!G43*1000))+(Довідник!$E$69/100*Довідник!$F$69*('Виробничий план'!G43*1000))+(Довідник!$G$69*Довідник!$H$69*('Виробничий план'!G44*1000))+(Довідник!$I$69/100*Довідник!$J$69*('Виробничий план'!G43*1000))+(Довідник!$K$69*Довідник!$L$69*('Виробничий план'!G44*1000))</f>
        <v>35083.104000000007</v>
      </c>
      <c r="H29" s="292">
        <f>(Довідник!$C$69/100*Довідник!$D$69*('Виробничий план'!H43*1000))+(Довідник!$E$69/100*Довідник!$F$69*('Виробничий план'!H43*1000))+(Довідник!$G$69*Довідник!$H$69*('Виробничий план'!H44*1000))+(Довідник!$I$69/100*Довідник!$J$69*('Виробничий план'!H43*1000))+(Довідник!$K$69*Довідник!$L$69*('Виробничий план'!H44*1000))</f>
        <v>36975.135999999999</v>
      </c>
      <c r="I29" s="292">
        <f>(Довідник!$C$69/100*Довідник!$D$69*('Виробничий план'!I43*1000))+(Довідник!$E$69/100*Довідник!$F$69*('Виробничий план'!I43*1000))+(Довідник!$G$69*Довідник!$H$69*('Виробничий план'!I44*1000))+(Довідник!$I$69/100*Довідник!$J$69*('Виробничий план'!I43*1000))+(Довідник!$K$69*Довідник!$L$69*('Виробничий план'!I44*1000))</f>
        <v>36975.135999999999</v>
      </c>
      <c r="J29" s="292">
        <f>(Довідник!$C$69/100*Довідник!$D$69*('Виробничий план'!J43*1000))+(Довідник!$E$69/100*Довідник!$F$69*('Виробничий план'!J43*1000))+(Довідник!$G$69*Довідник!$H$69*('Виробничий план'!J44*1000))+(Довідник!$I$69/100*Довідник!$J$69*('Виробничий план'!J43*1000))+(Довідник!$K$69*Довідник!$L$69*('Виробничий план'!J44*1000))</f>
        <v>34411.775999999998</v>
      </c>
      <c r="K29" s="292">
        <f>(Довідник!$C$69/100*Довідник!$D$69*('Виробничий план'!K43*1000))+(Довідник!$E$69/100*Довідник!$F$69*('Виробничий план'!K43*1000))+(Довідник!$G$69*Довідник!$H$69*('Виробничий план'!K44*1000))+(Довідник!$I$69/100*Довідник!$J$69*('Виробничий план'!K43*1000))+(Довідник!$K$69*Довідник!$L$69*('Виробничий план'!K44*1000))</f>
        <v>33193.439999999995</v>
      </c>
      <c r="L29" s="292">
        <f>(Довідник!$C$69/100*Довідник!$D$69*('Виробничий план'!L43*1000))+(Довідник!$E$69/100*Довідник!$F$69*('Виробничий план'!L43*1000))+(Довідник!$G$69*Довідник!$H$69*('Виробничий план'!L44*1000))+(Довідник!$I$69/100*Довідник!$J$69*('Виробничий план'!L43*1000))+(Довідник!$K$69*Довідник!$L$69*('Виробничий план'!L44*1000))</f>
        <v>25574.400000000005</v>
      </c>
      <c r="M29" s="292">
        <f>(Довідник!$C$69/100*Довідник!$D$69*('Виробничий план'!M43*1000))+(Довідник!$E$69/100*Довідник!$F$69*('Виробничий план'!M43*1000))+(Довідник!$G$69*Довідник!$H$69*('Виробничий план'!M44*1000))+(Довідник!$I$69/100*Довідник!$J$69*('Виробничий план'!M43*1000))+(Довідник!$K$69*Довідник!$L$69*('Виробничий план'!M44*1000))</f>
        <v>21548.799999999999</v>
      </c>
      <c r="N29" s="269">
        <f t="shared" ref="N29:N33" si="15">SUM(B29:M29)</f>
        <v>355744.04800000001</v>
      </c>
    </row>
    <row r="30" spans="1:14" x14ac:dyDescent="0.25">
      <c r="A30" s="145" t="str">
        <f>Довідник!$A$56</f>
        <v>Кефір</v>
      </c>
      <c r="B30" s="292">
        <f>(Довідник!$C$70/100*Довідник!$D$70*('Виробничий план'!B45*1000))+(Довідник!$E$70/100*Довідник!$F$70*('Виробничий план'!B45*1000))+(Довідник!$G$70*Довідник!$H$70*('Виробничий план'!B46*1000))+(Довідник!$I$70/100*Довідник!$J$70*('Виробничий план'!B45*1000))+(Довідник!$K$70*Довідник!$L$70*('Виробничий план'!B46*1000))</f>
        <v>17812.56699029126</v>
      </c>
      <c r="C30" s="292">
        <f>(Довідник!$C$70/100*Довідник!$D$70*('Виробничий план'!C45*1000))+(Довідник!$E$70/100*Довідник!$F$70*('Виробничий план'!C45*1000))+(Довідник!$G$70*Довідник!$H$70*('Виробничий план'!C46*1000))+(Довідник!$I$70/100*Довідник!$J$70*('Виробничий план'!C45*1000))+(Довідник!$K$70*Довідник!$L$70*('Виробничий план'!C46*1000))</f>
        <v>22107.103689320389</v>
      </c>
      <c r="D30" s="292">
        <f>(Довідник!$C$70/100*Довідник!$D$70*('Виробничий план'!D45*1000))+(Довідник!$E$70/100*Довідник!$F$70*('Виробничий план'!D45*1000))+(Довідник!$G$70*Довідник!$H$70*('Виробничий план'!D46*1000))+(Довідник!$I$70/100*Довідник!$J$70*('Виробничий план'!D45*1000))+(Довідник!$K$70*Довідник!$L$70*('Виробничий план'!D46*1000))</f>
        <v>29498.098951456319</v>
      </c>
      <c r="E30" s="292">
        <f>(Довідник!$C$70/100*Довідник!$D$70*('Виробничий план'!E45*1000))+(Довідник!$E$70/100*Довідник!$F$70*('Виробничий план'!E45*1000))+(Довідник!$G$70*Довідник!$H$70*('Виробничий план'!E46*1000))+(Довідник!$I$70/100*Довідник!$J$70*('Виробничий план'!E45*1000))+(Довідник!$K$70*Довідник!$L$70*('Виробничий план'!E46*1000))</f>
        <v>30937.134757281558</v>
      </c>
      <c r="F30" s="292">
        <f>(Довідник!$C$70/100*Довідник!$D$70*('Виробничий план'!F45*1000))+(Довідник!$E$70/100*Довідник!$F$70*('Виробничий план'!F45*1000))+(Довідник!$G$70*Довідник!$H$70*('Виробничий план'!F46*1000))+(Довідник!$I$70/100*Довідник!$J$70*('Виробничий план'!F45*1000))+(Довідник!$K$70*Довідник!$L$70*('Виробничий план'!F46*1000))</f>
        <v>35644.654601941751</v>
      </c>
      <c r="G30" s="292">
        <f>(Довідник!$C$70/100*Довідник!$D$70*('Виробничий план'!G45*1000))+(Довідник!$E$70/100*Довідник!$F$70*('Виробничий план'!G45*1000))+(Довідник!$G$70*Довідник!$H$70*('Виробничий план'!G46*1000))+(Довідник!$I$70/100*Довідник!$J$70*('Виробничий план'!G45*1000))+(Довідник!$K$70*Довідник!$L$70*('Виробничий план'!G46*1000))</f>
        <v>36150.970718446595</v>
      </c>
      <c r="H30" s="292">
        <f>(Довідник!$C$70/100*Довідник!$D$70*('Виробничий план'!H45*1000))+(Довідник!$E$70/100*Довідник!$F$70*('Виробничий план'!H45*1000))+(Довідник!$G$70*Довідник!$H$70*('Виробничий план'!H46*1000))+(Довідник!$I$70/100*Довідник!$J$70*('Виробничий план'!H45*1000))+(Довідник!$K$70*Довідник!$L$70*('Виробничий план'!H46*1000))</f>
        <v>38100.592776699028</v>
      </c>
      <c r="I30" s="292">
        <f>(Довідник!$C$70/100*Довідник!$D$70*('Виробничий план'!I45*1000))+(Довідник!$E$70/100*Довідник!$F$70*('Виробничий план'!I45*1000))+(Довідник!$G$70*Довідник!$H$70*('Виробничий план'!I46*1000))+(Довідник!$I$70/100*Довідник!$J$70*('Виробничий план'!I45*1000))+(Довідник!$K$70*Довідник!$L$70*('Виробничий план'!I46*1000))</f>
        <v>38100.592776699028</v>
      </c>
      <c r="J30" s="292">
        <f>(Довідник!$C$70/100*Довідник!$D$70*('Виробничий план'!J45*1000))+(Довідник!$E$70/100*Довідник!$F$70*('Виробничий план'!J45*1000))+(Довідник!$G$70*Довідник!$H$70*('Виробничий план'!J46*1000))+(Довідник!$I$70/100*Довідник!$J$70*('Виробничий план'!J45*1000))+(Довідник!$K$70*Довідник!$L$70*('Виробничий план'!J46*1000))</f>
        <v>35459.208699029128</v>
      </c>
      <c r="K30" s="292">
        <f>(Довідник!$C$70/100*Довідник!$D$70*('Виробничий план'!K45*1000))+(Довідник!$E$70/100*Довідник!$F$70*('Виробничий план'!K45*1000))+(Довідник!$G$70*Довідник!$H$70*('Виробничий план'!K46*1000))+(Довідник!$I$70/100*Довідник!$J$70*('Виробничий план'!K45*1000))+(Довідник!$K$70*Довідник!$L$70*('Виробничий план'!K46*1000))</f>
        <v>34203.788737864081</v>
      </c>
      <c r="L30" s="292">
        <f>(Довідник!$C$70/100*Довідник!$D$70*('Виробничий план'!L45*1000))+(Довідник!$E$70/100*Довідник!$F$70*('Виробничий план'!L45*1000))+(Довідник!$G$70*Довідник!$H$70*('Виробничий план'!L46*1000))+(Довідник!$I$70/100*Довідник!$J$70*('Виробничий план'!L45*1000))+(Довідник!$K$70*Довідник!$L$70*('Виробничий план'!L46*1000))</f>
        <v>26352.838834951457</v>
      </c>
      <c r="M30" s="292">
        <f>(Довідник!$C$70/100*Довідник!$D$70*('Виробничий план'!M45*1000))+(Довідник!$E$70/100*Довідник!$F$70*('Виробничий план'!M45*1000))+(Довідник!$G$70*Довідник!$H$70*('Виробничий план'!M46*1000))+(Довідник!$I$70/100*Довідник!$J$70*('Виробничий план'!M45*1000))+(Довідник!$K$70*Довідник!$L$70*('Виробничий план'!M46*1000))</f>
        <v>22204.706796116501</v>
      </c>
      <c r="N30" s="269">
        <f t="shared" si="15"/>
        <v>366572.25833009701</v>
      </c>
    </row>
    <row r="31" spans="1:14" x14ac:dyDescent="0.25">
      <c r="A31" s="145" t="str">
        <f>Довідник!$A$57</f>
        <v>Сметана</v>
      </c>
      <c r="B31" s="292">
        <f>(Довідник!$C$71/100*Довідник!$D$71*('Виробничий план'!B47*1000))+(Довідник!$E$71/100*Довідник!$F$71*('Виробничий план'!B47*1000))+(Довідник!$G$71*Довідник!$H$71*('Виробничий план'!B48*1000))+(Довідник!$I$71/100*Довідник!$J$71*('Виробничий план'!B47*1000))+(Довідник!$K$71*Довідник!$L$71*('Виробничий план'!B48*1000))</f>
        <v>3403.8857142857141</v>
      </c>
      <c r="C31" s="292">
        <f>(Довідник!$C$71/100*Довідник!$D$71*('Виробничий план'!C47*1000))+(Довідник!$E$71/100*Довідник!$F$71*('Виробничий план'!C47*1000))+(Довідник!$G$71*Довідник!$H$71*('Виробничий план'!C48*1000))+(Довідник!$I$71/100*Довідник!$J$71*('Виробничий план'!C47*1000))+(Довідник!$K$71*Довідник!$L$71*('Виробничий план'!C48*1000))</f>
        <v>4224.5485714285714</v>
      </c>
      <c r="D31" s="292">
        <f>(Довідник!$C$71/100*Довідник!$D$71*('Виробничий план'!D47*1000))+(Довідник!$E$71/100*Довідник!$F$71*('Виробничий план'!D47*1000))+(Довідник!$G$71*Довідник!$H$71*('Виробничий план'!D48*1000))+(Довідник!$I$71/100*Довідник!$J$71*('Виробничий план'!D47*1000))+(Довідник!$K$71*Довідник!$L$71*('Виробничий план'!D48*1000))</f>
        <v>5636.9279999999999</v>
      </c>
      <c r="E31" s="292">
        <f>(Довідник!$C$71/100*Довідник!$D$71*('Виробничий план'!E47*1000))+(Довідник!$E$71/100*Довідник!$F$71*('Виробничий план'!E47*1000))+(Довідник!$G$71*Довідник!$H$71*('Виробничий план'!E48*1000))+(Довідник!$I$71/100*Довідник!$J$71*('Виробничий план'!E47*1000))+(Довідник!$K$71*Довідник!$L$71*('Виробничий план'!E48*1000))</f>
        <v>5911.92</v>
      </c>
      <c r="F31" s="292">
        <f>(Довідник!$C$71/100*Довідник!$D$71*('Виробничий план'!F47*1000))+(Довідник!$E$71/100*Довідник!$F$71*('Виробничий план'!F47*1000))+(Довідник!$G$71*Довідник!$H$71*('Виробничий план'!F48*1000))+(Довідник!$I$71/100*Довідник!$J$71*('Виробничий план'!F47*1000))+(Довідник!$K$71*Довідник!$L$71*('Виробничий план'!F48*1000))</f>
        <v>6811.501714285715</v>
      </c>
      <c r="G31" s="292">
        <f>(Довідник!$C$71/100*Довідник!$D$71*('Виробничий план'!G47*1000))+(Довідник!$E$71/100*Довідник!$F$71*('Виробничий план'!G47*1000))+(Довідник!$G$71*Довідник!$H$71*('Виробничий план'!G48*1000))+(Довідник!$I$71/100*Довідник!$J$71*('Виробничий план'!G47*1000))+(Довідник!$K$71*Довідник!$L$71*('Виробничий план'!G48*1000))</f>
        <v>6908.2560000000003</v>
      </c>
      <c r="H31" s="292">
        <f>(Довідник!$C$71/100*Довідник!$D$71*('Виробничий план'!H47*1000))+(Довідник!$E$71/100*Довідник!$F$71*('Виробничий план'!H47*1000))+(Довідник!$G$71*Довідник!$H$71*('Виробничий план'!H48*1000))+(Довідник!$I$71/100*Довідник!$J$71*('Виробничий план'!H47*1000))+(Довідник!$K$71*Довідник!$L$71*('Виробничий план'!H48*1000))</f>
        <v>7280.8182857142856</v>
      </c>
      <c r="I31" s="292">
        <f>(Довідник!$C$71/100*Довідник!$D$71*('Виробничий план'!I47*1000))+(Довідник!$E$71/100*Довідник!$F$71*('Виробничий план'!I47*1000))+(Довідник!$G$71*Довідник!$H$71*('Виробничий план'!I48*1000))+(Довідник!$I$71/100*Довідник!$J$71*('Виробничий план'!I47*1000))+(Довідник!$K$71*Довідник!$L$71*('Виробничий план'!I48*1000))</f>
        <v>7280.8182857142856</v>
      </c>
      <c r="J31" s="292">
        <f>(Довідник!$C$71/100*Довідник!$D$71*('Виробничий план'!J47*1000))+(Довідник!$E$71/100*Довідник!$F$71*('Виробничий план'!J47*1000))+(Довідник!$G$71*Довідник!$H$71*('Виробничий план'!J48*1000))+(Довідник!$I$71/100*Довідник!$J$71*('Виробничий план'!J47*1000))+(Довідник!$K$71*Довідник!$L$71*('Виробничий план'!J48*1000))</f>
        <v>6776.0640000000003</v>
      </c>
      <c r="K31" s="292">
        <f>(Довідник!$C$71/100*Довідник!$D$71*('Виробничий план'!K47*1000))+(Довідник!$E$71/100*Довідник!$F$71*('Виробничий план'!K47*1000))+(Довідник!$G$71*Довідник!$H$71*('Виробничий план'!K48*1000))+(Довідник!$I$71/100*Довідник!$J$71*('Виробничий план'!K47*1000))+(Довідник!$K$71*Довідник!$L$71*('Виробничий план'!K48*1000))</f>
        <v>6536.16</v>
      </c>
      <c r="L31" s="292">
        <f>(Довідник!$C$71/100*Довідник!$D$71*('Виробничий план'!L47*1000))+(Довідник!$E$71/100*Довідник!$F$71*('Виробничий план'!L47*1000))+(Довідник!$G$71*Довідник!$H$71*('Виробничий план'!L48*1000))+(Довідник!$I$71/100*Довідник!$J$71*('Виробничий план'!L47*1000))+(Довідник!$K$71*Довідник!$L$71*('Виробничий план'!L48*1000))</f>
        <v>5035.885714285715</v>
      </c>
      <c r="M31" s="292">
        <f>(Довідник!$C$71/100*Довідник!$D$71*('Виробничий план'!M47*1000))+(Довідник!$E$71/100*Довідник!$F$71*('Виробничий план'!M47*1000))+(Довідник!$G$71*Довідник!$H$71*('Виробничий план'!M48*1000))+(Довідник!$I$71/100*Довідник!$J$71*('Виробничий план'!M47*1000))+(Довідник!$K$71*Довідник!$L$71*('Виробничий план'!M48*1000))</f>
        <v>4243.2</v>
      </c>
      <c r="N31" s="269">
        <f t="shared" si="15"/>
        <v>70049.986285714287</v>
      </c>
    </row>
    <row r="32" spans="1:14" x14ac:dyDescent="0.25">
      <c r="A32" s="145" t="str">
        <f>Довідник!$A$58</f>
        <v>Сир м'який</v>
      </c>
      <c r="B32" s="292">
        <f>(Довідник!$C$72/100*Довідник!$D$72*('Виробничий план'!B49*1000))+(Довідник!$E$72/100*Довідник!$F$72*('Виробничий план'!B49*1000))+(Довідник!$G$72*Довідник!$H$72*('Виробничий план'!B50*1000))+(Довідник!$I$72/100*Довідник!$J$72*('Виробничий план'!B49*1000))+(Довідник!$K$72*Довідник!$L$72*('Виробничий план'!B50*1000))</f>
        <v>15417.599999999999</v>
      </c>
      <c r="C32" s="292">
        <f>(Довідник!$C$72/100*Довідник!$D$72*('Виробничий план'!C49*1000))+(Довідник!$E$72/100*Довідник!$F$72*('Виробничий план'!C49*1000))+(Довідник!$G$72*Довідник!$H$72*('Виробничий план'!C50*1000))+(Довідник!$I$72/100*Довідник!$J$72*('Виробничий план'!C49*1000))+(Довідник!$K$72*Довідник!$L$72*('Виробничий план'!C50*1000))</f>
        <v>19134.72</v>
      </c>
      <c r="D32" s="292">
        <f>(Довідник!$C$72/100*Довідник!$D$72*('Виробничий план'!D49*1000))+(Довідник!$E$72/100*Довідник!$F$72*('Виробничий план'!D49*1000))+(Довідник!$G$72*Довідник!$H$72*('Виробничий план'!D50*1000))+(Довідник!$I$72/100*Довідник!$J$72*('Виробничий план'!D49*1000))+(Довідник!$K$72*Довідник!$L$72*('Виробничий план'!D50*1000))</f>
        <v>25531.968000000004</v>
      </c>
      <c r="E32" s="292">
        <f>(Довідник!$C$72/100*Довідник!$D$72*('Виробничий план'!E49*1000))+(Довідник!$E$72/100*Довідник!$F$72*('Виробничий план'!E49*1000))+(Довідник!$G$72*Довідник!$H$72*('Виробничий план'!E50*1000))+(Довідник!$I$72/100*Довідник!$J$72*('Виробничий план'!E49*1000))+(Довідник!$K$72*Довідник!$L$72*('Виробничий план'!E50*1000))</f>
        <v>26777.520000000004</v>
      </c>
      <c r="F32" s="292">
        <f>(Довідник!$C$72/100*Довідник!$D$72*('Виробничий план'!F49*1000))+(Довідник!$E$72/100*Довідник!$F$72*('Виробничий план'!F49*1000))+(Довідник!$G$72*Довідник!$H$72*('Виробничий план'!F50*1000))+(Довідник!$I$72/100*Довідник!$J$72*('Виробничий план'!F49*1000))+(Довідник!$K$72*Довідник!$L$72*('Виробничий план'!F50*1000))</f>
        <v>30852.096000000005</v>
      </c>
      <c r="G32" s="292">
        <f>(Довідник!$C$72/100*Довідник!$D$72*('Виробничий план'!G49*1000))+(Довідник!$E$72/100*Довідник!$F$72*('Виробничий план'!G49*1000))+(Довідник!$G$72*Довідник!$H$72*('Виробничий план'!G50*1000))+(Довідник!$I$72/100*Довідник!$J$72*('Виробничий план'!G49*1000))+(Довідник!$K$72*Довідник!$L$72*('Виробничий план'!G50*1000))</f>
        <v>31290.335999999999</v>
      </c>
      <c r="H32" s="292">
        <f>(Довідник!$C$72/100*Довідник!$D$72*('Виробничий план'!H49*1000))+(Довідник!$E$72/100*Довідник!$F$72*('Виробничий план'!H49*1000))+(Довідник!$G$72*Довідник!$H$72*('Виробничий план'!H50*1000))+(Довідник!$I$72/100*Довідник!$J$72*('Виробничий план'!H49*1000))+(Довідник!$K$72*Довідник!$L$72*('Виробничий план'!H50*1000))</f>
        <v>32977.824000000008</v>
      </c>
      <c r="I32" s="292">
        <f>(Довідник!$C$72/100*Довідник!$D$72*('Виробничий план'!I49*1000))+(Довідник!$E$72/100*Довідник!$F$72*('Виробничий план'!I49*1000))+(Довідник!$G$72*Довідник!$H$72*('Виробничий план'!I50*1000))+(Довідник!$I$72/100*Довідник!$J$72*('Виробничий план'!I49*1000))+(Довідник!$K$72*Довідник!$L$72*('Виробничий план'!I50*1000))</f>
        <v>32977.824000000008</v>
      </c>
      <c r="J32" s="292">
        <f>(Довідник!$C$72/100*Довідник!$D$72*('Виробничий план'!J49*1000))+(Довідник!$E$72/100*Довідник!$F$72*('Виробничий план'!J49*1000))+(Довідник!$G$72*Довідник!$H$72*('Виробничий план'!J50*1000))+(Довідник!$I$72/100*Довідник!$J$72*('Виробничий план'!J49*1000))+(Довідник!$K$72*Довідник!$L$72*('Виробничий план'!J50*1000))</f>
        <v>30691.584000000003</v>
      </c>
      <c r="K32" s="292">
        <f>(Довідник!$C$72/100*Довідник!$D$72*('Виробничий план'!K49*1000))+(Довідник!$E$72/100*Довідник!$F$72*('Виробничий план'!K49*1000))+(Довідник!$G$72*Довідник!$H$72*('Виробничий план'!K50*1000))+(Довідник!$I$72/100*Довідник!$J$72*('Виробничий план'!K49*1000))+(Довідник!$K$72*Довідник!$L$72*('Виробничий план'!K50*1000))</f>
        <v>29604.960000000003</v>
      </c>
      <c r="L32" s="292">
        <f>(Довідник!$C$72/100*Довідник!$D$72*('Виробничий план'!L49*1000))+(Довідник!$E$72/100*Довідник!$F$72*('Виробничий план'!L49*1000))+(Довідник!$G$72*Довідник!$H$72*('Виробничий план'!L50*1000))+(Довідник!$I$72/100*Довідник!$J$72*('Виробничий план'!L49*1000))+(Довідник!$K$72*Довідник!$L$72*('Виробничий план'!L50*1000))</f>
        <v>22809.600000000006</v>
      </c>
      <c r="M32" s="292">
        <f>(Довідник!$C$72/100*Довідник!$D$72*('Виробничий план'!M49*1000))+(Довідник!$E$72/100*Довідник!$F$72*('Виробничий план'!M49*1000))+(Довідник!$G$72*Довідник!$H$72*('Виробничий план'!M50*1000))+(Довідник!$I$72/100*Довідник!$J$72*('Виробничий план'!M49*1000))+(Довідник!$K$72*Довідник!$L$72*('Виробничий план'!M50*1000))</f>
        <v>19219.199999999997</v>
      </c>
      <c r="N32" s="269">
        <f t="shared" si="15"/>
        <v>317285.23200000002</v>
      </c>
    </row>
    <row r="33" spans="1:14" ht="13.8" thickBot="1" x14ac:dyDescent="0.3">
      <c r="A33" s="270" t="str">
        <f>Довідник!$A$61</f>
        <v>Сир Рікотта</v>
      </c>
      <c r="B33" s="293">
        <f>(Довідник!$C$75/100*Довідник!$D$75*('Виробничий план'!B51*1000))+(Довідник!$E$75/100*Довідник!$F$75*('Виробничий план'!B51*1000))+(Довідник!$G$75*Довідник!$H$75*('Виробничий план'!B52*1000))+(Довідник!$I$75/100*Довідник!$J$75*('Виробничий план'!B51*1000))+(Довідник!$K$75*Довідник!$L$75*('Виробничий план'!B52*1000))</f>
        <v>9671.1857975034691</v>
      </c>
      <c r="C33" s="293">
        <f>(Довідник!$C$75/100*Довідник!$D$75*('Виробничий план'!C51*1000))+(Довідник!$E$75/100*Довідник!$F$75*('Виробничий план'!C51*1000))+(Довідник!$G$75*Довідник!$H$75*('Виробничий план'!C52*1000))+(Довідник!$I$75/100*Довідник!$J$75*('Виробничий план'!C51*1000))+(Довідник!$K$75*Довідник!$L$75*('Виробничий план'!C52*1000))</f>
        <v>12002.868948682386</v>
      </c>
      <c r="D33" s="293">
        <f>(Довідник!$C$75/100*Довідник!$D$75*('Виробничий план'!D51*1000))+(Довідник!$E$75/100*Довідник!$F$75*('Виробничий план'!D51*1000))+(Довідник!$G$75*Довідник!$H$75*('Виробничий план'!D52*1000))+(Довідник!$I$75/100*Довідник!$J$75*('Виробничий план'!D51*1000))+(Довідник!$K$75*Довідник!$L$75*('Виробничий план'!D52*1000))</f>
        <v>16015.748644660198</v>
      </c>
      <c r="E33" s="293">
        <f>(Довідник!$C$75/100*Довідник!$D$75*('Виробничий план'!E51*1000))+(Довідник!$E$75/100*Довідник!$F$75*('Виробничий план'!E51*1000))+(Довідник!$G$75*Довідник!$H$75*('Виробничий план'!E52*1000))+(Довідник!$I$75/100*Довідник!$J$75*('Виробничий план'!E51*1000))+(Довідник!$K$75*Довідник!$L$75*('Виробничий план'!E52*1000))</f>
        <v>16797.061223300967</v>
      </c>
      <c r="F33" s="293">
        <f>(Довідник!$C$75/100*Довідник!$D$75*('Виробничий план'!F51*1000))+(Довідник!$E$75/100*Довідник!$F$75*('Виробничий план'!F51*1000))+(Довідник!$G$75*Довідник!$H$75*('Виробничий план'!F52*1000))+(Довідник!$I$75/100*Довідник!$J$75*('Виробничий план'!F51*1000))+(Довідник!$K$75*Довідник!$L$75*('Виробничий план'!F52*1000))</f>
        <v>19352.970154785024</v>
      </c>
      <c r="G33" s="293">
        <f>(Довідник!$C$75/100*Довідник!$D$75*('Виробничий план'!G51*1000))+(Довідник!$E$75/100*Довідник!$F$75*('Виробничий план'!G51*1000))+(Довідник!$G$75*Довідник!$H$75*('Виробничий план'!G52*1000))+(Довідник!$I$75/100*Довідник!$J$75*('Виробничий план'!G51*1000))+(Довідник!$K$75*Довідник!$L$75*('Виробничий план'!G52*1000))</f>
        <v>19627.870299029124</v>
      </c>
      <c r="H33" s="293">
        <f>(Довідник!$C$75/100*Довідник!$D$75*('Виробничий план'!H51*1000))+(Довідник!$E$75/100*Довідник!$F$75*('Виробничий план'!H51*1000))+(Довідник!$G$75*Довідник!$H$75*('Виробничий план'!H52*1000))+(Довідник!$I$75/100*Довідник!$J$75*('Виробничий план'!H51*1000))+(Довідник!$K$75*Довідник!$L$75*('Виробничий план'!H52*1000))</f>
        <v>20686.401456865467</v>
      </c>
      <c r="I33" s="293">
        <f>(Довідник!$C$75/100*Довідник!$D$75*('Виробничий план'!I51*1000))+(Довідник!$E$75/100*Довідник!$F$75*('Виробничий план'!I51*1000))+(Довідник!$G$75*Довідник!$H$75*('Виробничий план'!I52*1000))+(Довідник!$I$75/100*Довідник!$J$75*('Виробничий план'!I51*1000))+(Довідник!$K$75*Довідник!$L$75*('Виробничий план'!I52*1000))</f>
        <v>20686.401456865467</v>
      </c>
      <c r="J33" s="293">
        <f>(Довідник!$C$75/100*Довідник!$D$75*('Виробничий план'!J51*1000))+(Довідник!$E$75/100*Довідник!$F$75*('Виробничий план'!J51*1000))+(Довідник!$G$75*Довідник!$H$75*('Виробничий план'!J52*1000))+(Довідник!$I$75/100*Довідник!$J$75*('Виробничий план'!J51*1000))+(Довідник!$K$75*Довідник!$L$75*('Виробничий план'!J52*1000))</f>
        <v>19252.283836893199</v>
      </c>
      <c r="K33" s="293">
        <f>(Довідник!$C$75/100*Довідник!$D$75*('Виробничий план'!K51*1000))+(Довідник!$E$75/100*Довідник!$F$75*('Виробничий план'!K51*1000))+(Довідник!$G$75*Довідник!$H$75*('Виробничий план'!K52*1000))+(Довідник!$I$75/100*Довідник!$J$75*('Виробничий план'!K51*1000))+(Довідник!$K$75*Довідник!$L$75*('Виробничий план'!K52*1000))</f>
        <v>18570.663961165053</v>
      </c>
      <c r="L33" s="293">
        <f>(Довідник!$C$75/100*Довідник!$D$75*('Виробничий план'!L51*1000))+(Довідник!$E$75/100*Довідник!$F$75*('Виробничий план'!L51*1000))+(Довідник!$G$75*Довідник!$H$75*('Виробничий план'!L52*1000))+(Довідник!$I$75/100*Довідник!$J$75*('Виробничий план'!L51*1000))+(Довідник!$K$75*Довідник!$L$75*('Виробничий план'!L52*1000))</f>
        <v>14308.055700416087</v>
      </c>
      <c r="M33" s="293">
        <f>(Довідник!$C$75/100*Довідник!$D$75*('Виробничий план'!M51*1000))+(Довідник!$E$75/100*Довідник!$F$75*('Виробничий план'!M51*1000))+(Довідник!$G$75*Довідник!$H$75*('Виробничий план'!M52*1000))+(Довідник!$I$75/100*Довідник!$J$75*('Виробничий план'!M51*1000))+(Довідник!$K$75*Довідник!$L$75*('Виробничий план'!M52*1000))</f>
        <v>12055.861747572813</v>
      </c>
      <c r="N33" s="272">
        <f t="shared" si="15"/>
        <v>199027.37322773927</v>
      </c>
    </row>
    <row r="34" spans="1:14" ht="13.8" thickBot="1" x14ac:dyDescent="0.3">
      <c r="A34" s="273" t="s">
        <v>308</v>
      </c>
      <c r="B34" s="274">
        <f>SUM(B28:B33)</f>
        <v>66161.23850208045</v>
      </c>
      <c r="C34" s="274">
        <f t="shared" ref="C34" si="16">SUM(C28:C33)</f>
        <v>82112.441209431345</v>
      </c>
      <c r="D34" s="274">
        <f t="shared" ref="D34" si="17">SUM(D28:D33)</f>
        <v>109564.82359611652</v>
      </c>
      <c r="E34" s="274">
        <f t="shared" ref="E34" si="18">SUM(E28:E33)</f>
        <v>114909.83598058252</v>
      </c>
      <c r="F34" s="274">
        <f t="shared" ref="F34" si="19">SUM(F28:F33)</f>
        <v>132394.98247101248</v>
      </c>
      <c r="G34" s="274">
        <f t="shared" ref="G34" si="20">SUM(G28:G33)</f>
        <v>134275.59301747571</v>
      </c>
      <c r="H34" s="274">
        <f t="shared" ref="H34" si="21">SUM(H28:H33)</f>
        <v>141517.07651927878</v>
      </c>
      <c r="I34" s="274">
        <f t="shared" ref="I34" si="22">SUM(I28:I33)</f>
        <v>141517.07651927878</v>
      </c>
      <c r="J34" s="274">
        <f t="shared" ref="J34" si="23">SUM(J28:J33)</f>
        <v>131706.18053592232</v>
      </c>
      <c r="K34" s="274">
        <f t="shared" ref="K34" si="24">SUM(K28:K33)</f>
        <v>127043.17269902912</v>
      </c>
      <c r="L34" s="274">
        <f t="shared" ref="L34" si="25">SUM(L28:L33)</f>
        <v>97882.380249653273</v>
      </c>
      <c r="M34" s="274">
        <f t="shared" ref="M34" si="26">SUM(M28:M33)</f>
        <v>82474.968543689305</v>
      </c>
      <c r="N34" s="275">
        <f t="shared" ref="N34" si="27">SUM(N28:N33)</f>
        <v>1361559.7698435506</v>
      </c>
    </row>
  </sheetData>
  <sheetProtection algorithmName="SHA-512" hashValue="dt3mroV2rsjRVGSJuUntuE9Q4IUGwK4Oyhfi+AzZXdbqs6fpWry4HOgot9+2sbf/of+QNFL+xt/F2rc+An88eA==" saltValue="xXMv3twM8Wp4nh7IIQpj0A==" spinCount="100000" sheet="1" objects="1" scenarios="1"/>
  <mergeCells count="15">
    <mergeCell ref="Q7:W16"/>
    <mergeCell ref="A26:A27"/>
    <mergeCell ref="B26:M26"/>
    <mergeCell ref="N26:N27"/>
    <mergeCell ref="A13:N13"/>
    <mergeCell ref="A14:A15"/>
    <mergeCell ref="B14:M14"/>
    <mergeCell ref="N14:N15"/>
    <mergeCell ref="A25:N25"/>
    <mergeCell ref="Q2:R2"/>
    <mergeCell ref="Q3:V5"/>
    <mergeCell ref="A2:A3"/>
    <mergeCell ref="A1:N1"/>
    <mergeCell ref="B2:M2"/>
    <mergeCell ref="N2:N3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A1:N31"/>
  <sheetViews>
    <sheetView workbookViewId="0">
      <selection activeCell="I16" sqref="I16"/>
    </sheetView>
  </sheetViews>
  <sheetFormatPr defaultColWidth="9.109375" defaultRowHeight="13.2" x14ac:dyDescent="0.25"/>
  <cols>
    <col min="1" max="1" width="23.109375" style="265" customWidth="1"/>
    <col min="2" max="5" width="10.6640625" style="265" customWidth="1"/>
    <col min="6" max="6" width="10.6640625" style="290" customWidth="1"/>
    <col min="7" max="16384" width="9.109375" style="265"/>
  </cols>
  <sheetData>
    <row r="1" spans="1:14" ht="33" customHeight="1" thickBot="1" x14ac:dyDescent="0.3">
      <c r="A1" s="520" t="s">
        <v>307</v>
      </c>
      <c r="B1" s="520"/>
      <c r="C1" s="520"/>
      <c r="D1" s="520"/>
      <c r="E1" s="520"/>
      <c r="F1" s="520"/>
    </row>
    <row r="2" spans="1:14" s="280" customFormat="1" ht="33.6" customHeight="1" thickBot="1" x14ac:dyDescent="0.35">
      <c r="A2" s="160" t="s">
        <v>32</v>
      </c>
      <c r="B2" s="278" t="s">
        <v>66</v>
      </c>
      <c r="C2" s="278" t="s">
        <v>67</v>
      </c>
      <c r="D2" s="278" t="s">
        <v>309</v>
      </c>
      <c r="E2" s="278" t="s">
        <v>70</v>
      </c>
      <c r="F2" s="279" t="s">
        <v>63</v>
      </c>
      <c r="I2" s="481" t="s">
        <v>127</v>
      </c>
      <c r="J2" s="481"/>
      <c r="K2" s="426"/>
      <c r="L2" s="426"/>
      <c r="M2" s="426"/>
      <c r="N2" s="426"/>
    </row>
    <row r="3" spans="1:14" ht="14.4" customHeight="1" x14ac:dyDescent="0.3">
      <c r="A3" s="145" t="str">
        <f>Довідник!$A$54</f>
        <v>Молоко питне</v>
      </c>
      <c r="B3" s="281">
        <f>Довідник!C$68*Довідник!D$68*'Виробничий план'!$N5*1000/100</f>
        <v>0</v>
      </c>
      <c r="C3" s="281">
        <f>Довідник!E$68*Довідник!F$68*'Виробничий план'!$N5*1000/100</f>
        <v>0</v>
      </c>
      <c r="D3" s="281">
        <f>Довідник!I$68*Довідник!J$68*'Виробничий план'!$N5*1000/100</f>
        <v>1502.7520000000002</v>
      </c>
      <c r="E3" s="281">
        <f>Довідник!K$68*Довідник!L$68*('Виробничий план'!$N6*1000)</f>
        <v>15027.52</v>
      </c>
      <c r="F3" s="282">
        <f>SUM(B3:E3)</f>
        <v>16530.272000000001</v>
      </c>
      <c r="I3" s="499" t="s">
        <v>231</v>
      </c>
      <c r="J3" s="499"/>
      <c r="K3" s="499"/>
      <c r="L3" s="499"/>
      <c r="M3" s="499"/>
      <c r="N3" s="499"/>
    </row>
    <row r="4" spans="1:14" ht="14.4" x14ac:dyDescent="0.3">
      <c r="A4" s="145" t="str">
        <f>Довідник!$A$55</f>
        <v>Сир кисломолочний</v>
      </c>
      <c r="B4" s="283">
        <f>Довідник!C$69*Довідник!D$69*'Виробничий план'!$N7*1000/100</f>
        <v>30055.040000000005</v>
      </c>
      <c r="C4" s="283">
        <f>Довідник!E$69*Довідник!F$69*'Виробничий план'!$N7*1000/100</f>
        <v>3005.5040000000004</v>
      </c>
      <c r="D4" s="283">
        <f>Довідник!I$69*Довідник!J$69*'Виробничий план'!$N7*1000/100</f>
        <v>3005.5040000000004</v>
      </c>
      <c r="E4" s="283">
        <f>Довідник!K$69*Довідник!L$69*('Виробничий план'!$N8*1000)</f>
        <v>75137.599999999991</v>
      </c>
      <c r="F4" s="284">
        <f t="shared" ref="F4:F9" si="0">SUM(B4:E4)</f>
        <v>111203.64799999999</v>
      </c>
      <c r="I4" s="499"/>
      <c r="J4" s="499"/>
      <c r="K4" s="499"/>
      <c r="L4" s="499"/>
      <c r="M4" s="499"/>
      <c r="N4" s="499"/>
    </row>
    <row r="5" spans="1:14" ht="14.4" x14ac:dyDescent="0.3">
      <c r="A5" s="145" t="str">
        <f>Довідник!$A$56</f>
        <v>Кефір</v>
      </c>
      <c r="B5" s="283">
        <f>Довідник!C$70*Довідник!D$70*'Виробничий план'!$N9*1000/100</f>
        <v>22541.280000000006</v>
      </c>
      <c r="C5" s="283">
        <f>Довідник!E$70*Довідник!F$70*'Виробничий план'!$N9*1000/100</f>
        <v>0</v>
      </c>
      <c r="D5" s="283">
        <f>Довідник!I$70*Довідник!J$70*'Виробничий план'!$N9*1000/100</f>
        <v>4508.2560000000012</v>
      </c>
      <c r="E5" s="283">
        <f>Довідник!K$70*Довідник!L$70*('Виробничий план'!$N10*1000)</f>
        <v>87538.951456310679</v>
      </c>
      <c r="F5" s="284">
        <f t="shared" si="0"/>
        <v>114588.48745631069</v>
      </c>
      <c r="I5" s="499"/>
      <c r="J5" s="499"/>
      <c r="K5" s="499"/>
      <c r="L5" s="499"/>
      <c r="M5" s="499"/>
      <c r="N5" s="499"/>
    </row>
    <row r="6" spans="1:14" ht="14.4" x14ac:dyDescent="0.3">
      <c r="A6" s="145" t="str">
        <f>Довідник!$A$57</f>
        <v>Сметана</v>
      </c>
      <c r="B6" s="283">
        <f>Довідник!C$71*Довідник!D$71*'Виробничий план'!$N11*1000/100</f>
        <v>15027.520000000002</v>
      </c>
      <c r="C6" s="283">
        <f>Довідник!E$71*Довідник!F$71*'Виробничий план'!$N11*1000/100</f>
        <v>0</v>
      </c>
      <c r="D6" s="283">
        <f>Довідник!I$71*Довідник!J$71*'Виробничий план'!$N11*1000/100</f>
        <v>1502.7520000000002</v>
      </c>
      <c r="E6" s="283">
        <f>Довідник!K$71*Довідник!L$71*('Виробничий план'!$N12*1000)</f>
        <v>5366.971428571429</v>
      </c>
      <c r="F6" s="284">
        <f t="shared" si="0"/>
        <v>21897.24342857143</v>
      </c>
    </row>
    <row r="7" spans="1:14" ht="14.4" customHeight="1" x14ac:dyDescent="0.3">
      <c r="A7" s="145" t="str">
        <f>Довідник!$A$58</f>
        <v>Сир м'який</v>
      </c>
      <c r="B7" s="283">
        <f>Довідник!C$72*Довідник!D$72*'Виробничий план'!$N13*1000/100</f>
        <v>45082.560000000012</v>
      </c>
      <c r="C7" s="283">
        <f>Довідник!E$72*Довідник!F$72*'Виробничий план'!$N13*1000/100</f>
        <v>4508.2560000000012</v>
      </c>
      <c r="D7" s="283">
        <f>Довідник!I$72*Довідник!J$72*'Виробничий план'!$N13*1000/100</f>
        <v>4508.2560000000012</v>
      </c>
      <c r="E7" s="283">
        <f>Довідник!K$72*Довідник!L$72*('Виробничий план'!$N14*1000)</f>
        <v>45082.559999999998</v>
      </c>
      <c r="F7" s="284">
        <f t="shared" si="0"/>
        <v>99181.632000000012</v>
      </c>
      <c r="I7" s="498" t="s">
        <v>401</v>
      </c>
      <c r="J7" s="498"/>
      <c r="K7" s="498"/>
      <c r="L7" s="498"/>
      <c r="M7" s="498"/>
      <c r="N7" s="498"/>
    </row>
    <row r="8" spans="1:14" ht="15" thickBot="1" x14ac:dyDescent="0.35">
      <c r="A8" s="270" t="str">
        <f>Довідник!$A$61</f>
        <v>Сир Рікотта</v>
      </c>
      <c r="B8" s="285">
        <f>Довідник!C$75*Довідник!D$75*'Виробничий план'!$N15*1000/100</f>
        <v>23042.544710124821</v>
      </c>
      <c r="C8" s="285">
        <f>Довідник!E$75*Довідник!F$75*'Виробничий план'!$N15*1000/100</f>
        <v>0</v>
      </c>
      <c r="D8" s="285">
        <f>Довідник!I$75*Довідник!J$75*'Виробничий план'!$N15*1000/100</f>
        <v>4608.5089420249642</v>
      </c>
      <c r="E8" s="285">
        <f>Довідник!K$75*Довідник!L$75*('Виробничий план'!$N16*1000)</f>
        <v>34563.817065187235</v>
      </c>
      <c r="F8" s="286">
        <f t="shared" si="0"/>
        <v>62214.87071733702</v>
      </c>
      <c r="I8" s="498"/>
      <c r="J8" s="498"/>
      <c r="K8" s="498"/>
      <c r="L8" s="498"/>
      <c r="M8" s="498"/>
      <c r="N8" s="498"/>
    </row>
    <row r="9" spans="1:14" s="290" customFormat="1" ht="15" thickBot="1" x14ac:dyDescent="0.35">
      <c r="A9" s="287" t="s">
        <v>63</v>
      </c>
      <c r="B9" s="288">
        <f>SUM(B3:B8)</f>
        <v>135748.94471012484</v>
      </c>
      <c r="C9" s="288">
        <f t="shared" ref="C9:E9" si="1">SUM(C3:C8)</f>
        <v>7513.760000000002</v>
      </c>
      <c r="D9" s="288">
        <f t="shared" si="1"/>
        <v>19636.028942024968</v>
      </c>
      <c r="E9" s="288">
        <f t="shared" si="1"/>
        <v>262717.41995006939</v>
      </c>
      <c r="F9" s="289">
        <f t="shared" si="0"/>
        <v>425616.15360221919</v>
      </c>
      <c r="I9" s="498"/>
      <c r="J9" s="498"/>
      <c r="K9" s="498"/>
      <c r="L9" s="498"/>
      <c r="M9" s="498"/>
      <c r="N9" s="498"/>
    </row>
    <row r="10" spans="1:14" ht="13.2" customHeight="1" x14ac:dyDescent="0.25">
      <c r="I10" s="498"/>
      <c r="J10" s="498"/>
      <c r="K10" s="498"/>
      <c r="L10" s="498"/>
      <c r="M10" s="498"/>
      <c r="N10" s="498"/>
    </row>
    <row r="11" spans="1:14" ht="13.2" customHeight="1" x14ac:dyDescent="0.25">
      <c r="I11" s="498"/>
      <c r="J11" s="498"/>
      <c r="K11" s="498"/>
      <c r="L11" s="498"/>
      <c r="M11" s="498"/>
      <c r="N11" s="498"/>
    </row>
    <row r="12" spans="1:14" ht="29.4" customHeight="1" thickBot="1" x14ac:dyDescent="0.3">
      <c r="A12" s="520" t="s">
        <v>307</v>
      </c>
      <c r="B12" s="520"/>
      <c r="C12" s="520"/>
      <c r="D12" s="520"/>
      <c r="E12" s="520"/>
      <c r="F12" s="520"/>
      <c r="I12" s="498"/>
      <c r="J12" s="498"/>
      <c r="K12" s="498"/>
      <c r="L12" s="498"/>
      <c r="M12" s="498"/>
      <c r="N12" s="498"/>
    </row>
    <row r="13" spans="1:14" ht="29.4" thickBot="1" x14ac:dyDescent="0.3">
      <c r="A13" s="160" t="s">
        <v>32</v>
      </c>
      <c r="B13" s="278" t="s">
        <v>66</v>
      </c>
      <c r="C13" s="278" t="s">
        <v>67</v>
      </c>
      <c r="D13" s="278" t="s">
        <v>309</v>
      </c>
      <c r="E13" s="278" t="s">
        <v>70</v>
      </c>
      <c r="F13" s="279" t="s">
        <v>63</v>
      </c>
      <c r="I13" s="498"/>
      <c r="J13" s="498"/>
      <c r="K13" s="498"/>
      <c r="L13" s="498"/>
      <c r="M13" s="498"/>
      <c r="N13" s="498"/>
    </row>
    <row r="14" spans="1:14" ht="14.4" x14ac:dyDescent="0.3">
      <c r="A14" s="145" t="str">
        <f>Довідник!$A$54</f>
        <v>Молоко питне</v>
      </c>
      <c r="B14" s="281">
        <f>Довідник!C$68*Довідник!D$68*'Виробничий план'!$N23*1000/100</f>
        <v>0</v>
      </c>
      <c r="C14" s="281">
        <f>Довідник!E$68*Довідник!F$68*'Виробничий план'!$N23*1000/100</f>
        <v>0</v>
      </c>
      <c r="D14" s="281">
        <f>Довідник!I$68*Довідник!J$68*'Виробничий план'!$N23*1000/100</f>
        <v>3344.3040000000001</v>
      </c>
      <c r="E14" s="281">
        <f>Довідник!K$68*Довідник!L$68*('Виробничий план'!$N24*1000)</f>
        <v>33443.040000000001</v>
      </c>
      <c r="F14" s="282">
        <f>SUM(B14:E14)</f>
        <v>36787.343999999997</v>
      </c>
      <c r="I14" s="498"/>
      <c r="J14" s="498"/>
      <c r="K14" s="498"/>
      <c r="L14" s="498"/>
      <c r="M14" s="498"/>
      <c r="N14" s="498"/>
    </row>
    <row r="15" spans="1:14" ht="14.4" x14ac:dyDescent="0.3">
      <c r="A15" s="145" t="str">
        <f>Довідник!$A$55</f>
        <v>Сир кисломолочний</v>
      </c>
      <c r="B15" s="283">
        <f>Довідник!C$69*Довідник!D$69*'Виробничий план'!$N25*1000/100</f>
        <v>66886.080000000016</v>
      </c>
      <c r="C15" s="283">
        <f>Довідник!E$69*Довідник!F$69*'Виробничий план'!$N25*1000/100</f>
        <v>6688.6080000000002</v>
      </c>
      <c r="D15" s="283">
        <f>Довідник!I$69*Довідник!J$69*'Виробничий план'!$N25*1000/100</f>
        <v>6688.6080000000002</v>
      </c>
      <c r="E15" s="283">
        <f>Довідник!K$69*Довідник!L$69*('Виробничий план'!$N26*1000)</f>
        <v>167215.19999999998</v>
      </c>
      <c r="F15" s="284">
        <f t="shared" ref="F15:F20" si="2">SUM(B15:E15)</f>
        <v>247478.49600000001</v>
      </c>
      <c r="I15" s="498"/>
      <c r="J15" s="498"/>
      <c r="K15" s="498"/>
      <c r="L15" s="498"/>
      <c r="M15" s="498"/>
      <c r="N15" s="498"/>
    </row>
    <row r="16" spans="1:14" ht="14.4" x14ac:dyDescent="0.3">
      <c r="A16" s="145" t="str">
        <f>Довідник!$A$56</f>
        <v>Кефір</v>
      </c>
      <c r="B16" s="283">
        <f>Довідник!C$70*Довідник!D$70*'Виробничий план'!$N27*1000/100</f>
        <v>50164.55999999999</v>
      </c>
      <c r="C16" s="283">
        <f>Довідник!E$70*Довідник!F$70*'Виробничий план'!$N27*1000/100</f>
        <v>0</v>
      </c>
      <c r="D16" s="283">
        <f>Довідник!I$70*Довідник!J$70*'Виробничий план'!$N27*1000/100</f>
        <v>10032.911999999998</v>
      </c>
      <c r="E16" s="283">
        <f>Довідник!K$70*Довідник!L$70*('Виробничий план'!$N28*1000)</f>
        <v>194813.82524271842</v>
      </c>
      <c r="F16" s="284">
        <f t="shared" si="2"/>
        <v>255011.2972427184</v>
      </c>
    </row>
    <row r="17" spans="1:6" ht="14.4" x14ac:dyDescent="0.3">
      <c r="A17" s="145" t="str">
        <f>Довідник!$A$57</f>
        <v>Сметана</v>
      </c>
      <c r="B17" s="283">
        <f>Довідник!C$71*Довідник!D$71*'Виробничий план'!$N29*1000/100</f>
        <v>33443.040000000008</v>
      </c>
      <c r="C17" s="283">
        <f>Довідник!E$71*Довідник!F$71*'Виробничий план'!$N29*1000/100</f>
        <v>0</v>
      </c>
      <c r="D17" s="283">
        <f>Довідник!I$71*Довідник!J$71*'Виробничий план'!$N29*1000/100</f>
        <v>3344.3040000000001</v>
      </c>
      <c r="E17" s="283">
        <f>Довідник!K$71*Довідник!L$71*('Виробничий план'!$N30*1000)</f>
        <v>11943.942857142858</v>
      </c>
      <c r="F17" s="284">
        <f t="shared" si="2"/>
        <v>48731.28685714287</v>
      </c>
    </row>
    <row r="18" spans="1:6" ht="14.4" x14ac:dyDescent="0.3">
      <c r="A18" s="145" t="str">
        <f>Довідник!$A$58</f>
        <v>Сир м'який</v>
      </c>
      <c r="B18" s="283">
        <f>Довідник!C$72*Довідник!D$72*'Виробничий план'!$N31*1000/100</f>
        <v>100329.11999999998</v>
      </c>
      <c r="C18" s="283">
        <f>Довідник!E$72*Довідник!F$72*'Виробничий план'!$N31*1000/100</f>
        <v>10032.911999999998</v>
      </c>
      <c r="D18" s="283">
        <f>Довідник!I$72*Довідник!J$72*'Виробничий план'!$N31*1000/100</f>
        <v>10032.911999999998</v>
      </c>
      <c r="E18" s="283">
        <f>Довідник!K$72*Довідник!L$72*('Виробничий план'!$N32*1000)</f>
        <v>100329.12</v>
      </c>
      <c r="F18" s="284">
        <f t="shared" si="2"/>
        <v>220724.06399999995</v>
      </c>
    </row>
    <row r="19" spans="1:6" ht="15" thickBot="1" x14ac:dyDescent="0.35">
      <c r="A19" s="270" t="str">
        <f>Довідник!$A$61</f>
        <v>Сир Рікотта</v>
      </c>
      <c r="B19" s="285">
        <f>Довідник!C$75*Довідник!D$75*'Виробничий план'!$N33*1000/100</f>
        <v>51280.101070735102</v>
      </c>
      <c r="C19" s="285">
        <f>Довідник!E$75*Довідник!F$75*'Виробничий план'!$N33*1000/100</f>
        <v>0</v>
      </c>
      <c r="D19" s="285">
        <f>Довідник!I$75*Довідник!J$75*'Виробничий план'!$N33*1000/100</f>
        <v>10256.02021414702</v>
      </c>
      <c r="E19" s="285">
        <f>Довідник!K$75*Довідник!L$75*('Виробничий план'!$N34*1000)</f>
        <v>76920.151606102649</v>
      </c>
      <c r="F19" s="286">
        <f t="shared" si="2"/>
        <v>138456.27289098478</v>
      </c>
    </row>
    <row r="20" spans="1:6" ht="15" thickBot="1" x14ac:dyDescent="0.35">
      <c r="A20" s="287" t="s">
        <v>63</v>
      </c>
      <c r="B20" s="288">
        <f>SUM(B14:B19)</f>
        <v>302102.90107073507</v>
      </c>
      <c r="C20" s="288">
        <f t="shared" ref="C20" si="3">SUM(C14:C19)</f>
        <v>16721.519999999997</v>
      </c>
      <c r="D20" s="288">
        <f t="shared" ref="D20" si="4">SUM(D14:D19)</f>
        <v>43699.060214147023</v>
      </c>
      <c r="E20" s="288">
        <f t="shared" ref="E20" si="5">SUM(E14:E19)</f>
        <v>584665.27970596403</v>
      </c>
      <c r="F20" s="289">
        <f t="shared" si="2"/>
        <v>947188.7609908462</v>
      </c>
    </row>
    <row r="23" spans="1:6" ht="30.6" customHeight="1" thickBot="1" x14ac:dyDescent="0.3">
      <c r="A23" s="520" t="s">
        <v>307</v>
      </c>
      <c r="B23" s="520"/>
      <c r="C23" s="520"/>
      <c r="D23" s="520"/>
      <c r="E23" s="520"/>
      <c r="F23" s="520"/>
    </row>
    <row r="24" spans="1:6" ht="29.4" thickBot="1" x14ac:dyDescent="0.3">
      <c r="A24" s="160" t="s">
        <v>32</v>
      </c>
      <c r="B24" s="278" t="s">
        <v>66</v>
      </c>
      <c r="C24" s="278" t="s">
        <v>67</v>
      </c>
      <c r="D24" s="278" t="s">
        <v>309</v>
      </c>
      <c r="E24" s="278" t="s">
        <v>70</v>
      </c>
      <c r="F24" s="279" t="s">
        <v>63</v>
      </c>
    </row>
    <row r="25" spans="1:6" ht="14.4" x14ac:dyDescent="0.3">
      <c r="A25" s="145" t="str">
        <f>Довідник!$A$54</f>
        <v>Молоко питне</v>
      </c>
      <c r="B25" s="281">
        <f>Довідник!C$68*Довідник!D$68*'Виробничий план'!$N41*1000/100</f>
        <v>0</v>
      </c>
      <c r="C25" s="281">
        <f>Довідник!E$68*Довідник!F$68*'Виробничий план'!$N41*1000/100</f>
        <v>0</v>
      </c>
      <c r="D25" s="281">
        <f>Довідник!I$68*Довідник!J$68*'Виробничий план'!$N41*1000/100</f>
        <v>4807.3519999999999</v>
      </c>
      <c r="E25" s="281">
        <f>Довідник!K$68*Довідник!L$68*('Виробничий план'!$N42*1000)</f>
        <v>48073.520000000004</v>
      </c>
      <c r="F25" s="282">
        <f>SUM(B25:E25)</f>
        <v>52880.872000000003</v>
      </c>
    </row>
    <row r="26" spans="1:6" ht="14.4" x14ac:dyDescent="0.3">
      <c r="A26" s="145" t="str">
        <f>Довідник!$A$55</f>
        <v>Сир кисломолочний</v>
      </c>
      <c r="B26" s="283">
        <f>Довідник!C$69*Довідник!D$69*'Виробничий план'!$N43*1000/100</f>
        <v>96147.04</v>
      </c>
      <c r="C26" s="283">
        <f>Довідник!E$69*Довідник!F$69*'Виробничий план'!$N43*1000/100</f>
        <v>9614.7039999999997</v>
      </c>
      <c r="D26" s="283">
        <f>Довідник!I$69*Довідник!J$69*'Виробничий план'!$N43*1000/100</f>
        <v>9614.7039999999997</v>
      </c>
      <c r="E26" s="283">
        <f>Довідник!K$69*Довідник!L$69*('Виробничий план'!$N44*1000)</f>
        <v>240367.60000000003</v>
      </c>
      <c r="F26" s="284">
        <f t="shared" ref="F26:F31" si="6">SUM(B26:E26)</f>
        <v>355744.04800000001</v>
      </c>
    </row>
    <row r="27" spans="1:6" ht="14.4" x14ac:dyDescent="0.3">
      <c r="A27" s="145" t="str">
        <f>Довідник!$A$56</f>
        <v>Кефір</v>
      </c>
      <c r="B27" s="283">
        <f>Довідник!C$70*Довідник!D$70*'Виробничий план'!$N45*1000/100</f>
        <v>72110.28</v>
      </c>
      <c r="C27" s="283">
        <f>Довідник!E$70*Довідник!F$70*'Виробничий план'!$N45*1000/100</f>
        <v>0</v>
      </c>
      <c r="D27" s="283">
        <f>Довідник!I$70*Довідник!J$70*'Виробничий план'!$N45*1000/100</f>
        <v>14422.056</v>
      </c>
      <c r="E27" s="283">
        <f>Довідник!K$70*Довідник!L$70*('Виробничий план'!$N46*1000)</f>
        <v>280039.92233009712</v>
      </c>
      <c r="F27" s="284">
        <f t="shared" si="6"/>
        <v>366572.25833009713</v>
      </c>
    </row>
    <row r="28" spans="1:6" ht="14.4" x14ac:dyDescent="0.3">
      <c r="A28" s="145" t="str">
        <f>Довідник!$A$57</f>
        <v>Сметана</v>
      </c>
      <c r="B28" s="283">
        <f>Довідник!C$71*Довідник!D$71*'Виробничий план'!$N47*1000/100</f>
        <v>48073.52</v>
      </c>
      <c r="C28" s="283">
        <f>Довідник!E$71*Довідник!F$71*'Виробничий план'!$N47*1000/100</f>
        <v>0</v>
      </c>
      <c r="D28" s="283">
        <f>Довідник!I$71*Довідник!J$71*'Виробничий план'!$N47*1000/100</f>
        <v>4807.3519999999999</v>
      </c>
      <c r="E28" s="283">
        <f>Довідник!K$71*Довідник!L$71*('Виробничий план'!$N48*1000)</f>
        <v>17169.114285714284</v>
      </c>
      <c r="F28" s="284">
        <f t="shared" si="6"/>
        <v>70049.986285714287</v>
      </c>
    </row>
    <row r="29" spans="1:6" ht="14.4" x14ac:dyDescent="0.3">
      <c r="A29" s="145" t="str">
        <f>Довідник!$A$58</f>
        <v>Сир м'який</v>
      </c>
      <c r="B29" s="283">
        <f>Довідник!C$72*Довідник!D$72*'Виробничий план'!$N49*1000/100</f>
        <v>144220.56</v>
      </c>
      <c r="C29" s="283">
        <f>Довідник!E$72*Довідник!F$72*'Виробничий план'!$N49*1000/100</f>
        <v>14422.056</v>
      </c>
      <c r="D29" s="283">
        <f>Довідник!I$72*Довідник!J$72*'Виробничий план'!$N49*1000/100</f>
        <v>14422.056</v>
      </c>
      <c r="E29" s="283">
        <f>Довідник!K$72*Довідник!L$72*('Виробничий план'!$N50*1000)</f>
        <v>144220.56</v>
      </c>
      <c r="F29" s="284">
        <f t="shared" si="6"/>
        <v>317285.23200000002</v>
      </c>
    </row>
    <row r="30" spans="1:6" ht="15" thickBot="1" x14ac:dyDescent="0.35">
      <c r="A30" s="270" t="str">
        <f>Довідник!$A$61</f>
        <v>Сир Рікотта</v>
      </c>
      <c r="B30" s="285">
        <f>Довідник!C$75*Довідник!D$75*'Виробничий план'!$N51*1000/100</f>
        <v>73713.841936199722</v>
      </c>
      <c r="C30" s="285">
        <f>Довідник!E$75*Довідник!F$75*'Виробничий план'!$N51*1000/100</f>
        <v>0</v>
      </c>
      <c r="D30" s="285">
        <f>Довідник!I$75*Довідник!J$75*'Виробничий план'!$N51*1000/100</f>
        <v>14742.768387239945</v>
      </c>
      <c r="E30" s="285">
        <f>Довідник!K$75*Довідник!L$75*('Виробничий план'!$N52*1000)</f>
        <v>110570.7629042996</v>
      </c>
      <c r="F30" s="286">
        <f t="shared" si="6"/>
        <v>199027.37322773927</v>
      </c>
    </row>
    <row r="31" spans="1:6" ht="15" thickBot="1" x14ac:dyDescent="0.35">
      <c r="A31" s="287" t="s">
        <v>63</v>
      </c>
      <c r="B31" s="288">
        <f>SUM(B25:B30)</f>
        <v>434265.24193619972</v>
      </c>
      <c r="C31" s="288">
        <f t="shared" ref="C31" si="7">SUM(C25:C30)</f>
        <v>24036.760000000002</v>
      </c>
      <c r="D31" s="288">
        <f t="shared" ref="D31" si="8">SUM(D25:D30)</f>
        <v>62816.288387239947</v>
      </c>
      <c r="E31" s="288">
        <f t="shared" ref="E31" si="9">SUM(E25:E30)</f>
        <v>840441.47952011111</v>
      </c>
      <c r="F31" s="289">
        <f t="shared" si="6"/>
        <v>1361559.7698435509</v>
      </c>
    </row>
  </sheetData>
  <sheetProtection algorithmName="SHA-512" hashValue="PEN8PHV2DGmV3P+c1OLfIw7nmweXQqTiUPWyGZr5emC51Um0xP25OsQ3qDPkyT6E8mPk/GIWaQ4LkBX9R3v9aQ==" saltValue="KHSNoQwypBVHAXwDaZQqvQ==" spinCount="100000" sheet="1" objects="1" scenarios="1"/>
  <mergeCells count="6">
    <mergeCell ref="A23:F23"/>
    <mergeCell ref="A1:F1"/>
    <mergeCell ref="A12:F12"/>
    <mergeCell ref="I2:J2"/>
    <mergeCell ref="I3:N5"/>
    <mergeCell ref="I7:N15"/>
  </mergeCells>
  <pageMargins left="0.7" right="0.7" top="0.75" bottom="0.75" header="0.3" footer="0.3"/>
  <pageSetup paperSize="0" orientation="portrait" horizontalDpi="0" verticalDpi="0" copie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</sheetPr>
  <dimension ref="A1:V34"/>
  <sheetViews>
    <sheetView workbookViewId="0">
      <selection activeCell="Q7" sqref="Q7:V15"/>
    </sheetView>
  </sheetViews>
  <sheetFormatPr defaultColWidth="9.109375" defaultRowHeight="13.2" x14ac:dyDescent="0.25"/>
  <cols>
    <col min="1" max="1" width="18.6640625" style="265" customWidth="1"/>
    <col min="2" max="2" width="10.88671875" style="265" bestFit="1" customWidth="1"/>
    <col min="3" max="13" width="9.109375" style="265"/>
    <col min="14" max="14" width="11.5546875" style="265" bestFit="1" customWidth="1"/>
    <col min="15" max="16" width="9.5546875" style="265" bestFit="1" customWidth="1"/>
    <col min="17" max="16384" width="9.109375" style="265"/>
  </cols>
  <sheetData>
    <row r="1" spans="1:22" ht="14.4" thickBot="1" x14ac:dyDescent="0.3">
      <c r="A1" s="486" t="s">
        <v>310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</row>
    <row r="2" spans="1:22" ht="14.4" customHeight="1" x14ac:dyDescent="0.3">
      <c r="A2" s="487" t="s">
        <v>32</v>
      </c>
      <c r="B2" s="489" t="s">
        <v>33</v>
      </c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1"/>
      <c r="N2" s="492" t="s">
        <v>209</v>
      </c>
      <c r="Q2" s="481" t="s">
        <v>127</v>
      </c>
      <c r="R2" s="481"/>
      <c r="S2" s="426"/>
      <c r="T2" s="426"/>
      <c r="U2" s="426"/>
      <c r="V2" s="426"/>
    </row>
    <row r="3" spans="1:22" ht="13.95" customHeight="1" thickBot="1" x14ac:dyDescent="0.3">
      <c r="A3" s="488"/>
      <c r="B3" s="249" t="s">
        <v>34</v>
      </c>
      <c r="C3" s="266" t="s">
        <v>35</v>
      </c>
      <c r="D3" s="266" t="s">
        <v>36</v>
      </c>
      <c r="E3" s="266" t="s">
        <v>37</v>
      </c>
      <c r="F3" s="266" t="s">
        <v>38</v>
      </c>
      <c r="G3" s="266" t="s">
        <v>39</v>
      </c>
      <c r="H3" s="266" t="s">
        <v>40</v>
      </c>
      <c r="I3" s="266" t="s">
        <v>41</v>
      </c>
      <c r="J3" s="266" t="s">
        <v>42</v>
      </c>
      <c r="K3" s="266" t="s">
        <v>43</v>
      </c>
      <c r="L3" s="266" t="s">
        <v>44</v>
      </c>
      <c r="M3" s="266" t="s">
        <v>45</v>
      </c>
      <c r="N3" s="493"/>
      <c r="Q3" s="499" t="s">
        <v>231</v>
      </c>
      <c r="R3" s="499"/>
      <c r="S3" s="499"/>
      <c r="T3" s="499"/>
      <c r="U3" s="499"/>
      <c r="V3" s="499"/>
    </row>
    <row r="4" spans="1:22" ht="13.2" customHeight="1" x14ac:dyDescent="0.25">
      <c r="A4" s="145" t="str">
        <f>Довідник!$A$54</f>
        <v>Молоко питне</v>
      </c>
      <c r="B4" s="267">
        <f>Довідник!B$125*'Виробничий план'!B5*1000</f>
        <v>2880</v>
      </c>
      <c r="C4" s="267">
        <f>Довідник!C$125*'Виробничий план'!C5*1000</f>
        <v>3679.9999999999995</v>
      </c>
      <c r="D4" s="267">
        <f>Довідник!D$125*'Виробничий план'!D5*1000</f>
        <v>5948.7999999999993</v>
      </c>
      <c r="E4" s="267">
        <f>Довідник!E$125*'Виробничий план'!E5*1000</f>
        <v>8467.1999999999989</v>
      </c>
      <c r="F4" s="267">
        <f>Довідник!F$125*'Виробничий план'!F5*1000</f>
        <v>12143.999999999998</v>
      </c>
      <c r="G4" s="267">
        <f>Довідник!G$125*'Виробничий план'!G5*1000</f>
        <v>15052.8</v>
      </c>
      <c r="H4" s="267">
        <f>Довідник!H$125*'Виробничий план'!H5*1000</f>
        <v>18585.599999999999</v>
      </c>
      <c r="I4" s="267">
        <f>Довідник!I$125*'Виробничий план'!I5*1000</f>
        <v>18744</v>
      </c>
      <c r="J4" s="267">
        <f>Довідник!J$125*'Виробничий план'!J5*1000</f>
        <v>19051.199999999997</v>
      </c>
      <c r="K4" s="267">
        <f>Довідник!K$125*'Виробничий план'!K5*1000</f>
        <v>17337.600000000006</v>
      </c>
      <c r="L4" s="267">
        <f>Довідник!L$125*'Виробничий план'!L5*1000</f>
        <v>14559.999999999998</v>
      </c>
      <c r="M4" s="267">
        <f>Довідник!M$125*'Виробничий план'!M5*1000</f>
        <v>13824.000000000002</v>
      </c>
      <c r="N4" s="268">
        <f>SUM(B4:M4)</f>
        <v>150275.19999999998</v>
      </c>
      <c r="Q4" s="499"/>
      <c r="R4" s="499"/>
      <c r="S4" s="499"/>
      <c r="T4" s="499"/>
      <c r="U4" s="499"/>
      <c r="V4" s="499"/>
    </row>
    <row r="5" spans="1:22" ht="13.2" customHeight="1" x14ac:dyDescent="0.25">
      <c r="A5" s="145" t="str">
        <f>Довідник!$A$55</f>
        <v>Сир кисломолочний</v>
      </c>
      <c r="B5" s="267">
        <f>Довідник!B$125*'Виробничий план'!B7*1000</f>
        <v>5760</v>
      </c>
      <c r="C5" s="267">
        <f>Довідник!C$125*'Виробничий план'!C7*1000</f>
        <v>7359.9999999999991</v>
      </c>
      <c r="D5" s="267">
        <f>Довідник!D$125*'Виробничий план'!D7*1000</f>
        <v>11897.599999999999</v>
      </c>
      <c r="E5" s="267">
        <f>Довідник!E$125*'Виробничий план'!E7*1000</f>
        <v>16934.399999999998</v>
      </c>
      <c r="F5" s="267">
        <f>Довідник!F$125*'Виробничий план'!F7*1000</f>
        <v>24287.999999999996</v>
      </c>
      <c r="G5" s="267">
        <f>Довідник!G$125*'Виробничий план'!G7*1000</f>
        <v>30105.599999999999</v>
      </c>
      <c r="H5" s="267">
        <f>Довідник!H$125*'Виробничий план'!H7*1000</f>
        <v>37171.199999999997</v>
      </c>
      <c r="I5" s="267">
        <f>Довідник!I$125*'Виробничий план'!I7*1000</f>
        <v>37488</v>
      </c>
      <c r="J5" s="267">
        <f>Довідник!J$125*'Виробничий план'!J7*1000</f>
        <v>38102.399999999994</v>
      </c>
      <c r="K5" s="267">
        <f>Довідник!K$125*'Виробничий план'!K7*1000</f>
        <v>34675.200000000012</v>
      </c>
      <c r="L5" s="267">
        <f>Довідник!L$125*'Виробничий план'!L7*1000</f>
        <v>29119.999999999996</v>
      </c>
      <c r="M5" s="267">
        <f>Довідник!M$125*'Виробничий план'!M7*1000</f>
        <v>27648.000000000004</v>
      </c>
      <c r="N5" s="269">
        <f t="shared" ref="N5:N9" si="0">SUM(B5:M5)</f>
        <v>300550.39999999997</v>
      </c>
      <c r="Q5" s="499"/>
      <c r="R5" s="499"/>
      <c r="S5" s="499"/>
      <c r="T5" s="499"/>
      <c r="U5" s="499"/>
      <c r="V5" s="499"/>
    </row>
    <row r="6" spans="1:22" x14ac:dyDescent="0.25">
      <c r="A6" s="145" t="str">
        <f>Довідник!$A$56</f>
        <v>Кефір</v>
      </c>
      <c r="B6" s="267">
        <f>Довідник!B$125*'Виробничий план'!B9*1000</f>
        <v>8639.9999999999982</v>
      </c>
      <c r="C6" s="267">
        <f>Довідник!C$125*'Виробничий план'!C9*1000</f>
        <v>11040</v>
      </c>
      <c r="D6" s="267">
        <f>Довідник!D$125*'Виробничий план'!D9*1000</f>
        <v>17846.399999999998</v>
      </c>
      <c r="E6" s="267">
        <f>Довідник!E$125*'Виробничий план'!E9*1000</f>
        <v>25401.599999999999</v>
      </c>
      <c r="F6" s="267">
        <f>Довідник!F$125*'Виробничий план'!F9*1000</f>
        <v>36431.999999999993</v>
      </c>
      <c r="G6" s="267">
        <f>Довідник!G$125*'Виробничий план'!G9*1000</f>
        <v>45158.400000000001</v>
      </c>
      <c r="H6" s="267">
        <f>Довідник!H$125*'Виробничий план'!H9*1000</f>
        <v>55756.799999999996</v>
      </c>
      <c r="I6" s="267">
        <f>Довідник!I$125*'Виробничий план'!I9*1000</f>
        <v>56232</v>
      </c>
      <c r="J6" s="267">
        <f>Довідник!J$125*'Виробничий план'!J9*1000</f>
        <v>57153.600000000006</v>
      </c>
      <c r="K6" s="267">
        <f>Довідник!K$125*'Виробничий план'!K9*1000</f>
        <v>52012.800000000003</v>
      </c>
      <c r="L6" s="267">
        <f>Довідник!L$125*'Виробничий план'!L9*1000</f>
        <v>43679.999999999993</v>
      </c>
      <c r="M6" s="267">
        <f>Довідник!M$125*'Виробничий план'!M9*1000</f>
        <v>41472.000000000007</v>
      </c>
      <c r="N6" s="269">
        <f t="shared" si="0"/>
        <v>450825.6</v>
      </c>
    </row>
    <row r="7" spans="1:22" ht="13.2" customHeight="1" x14ac:dyDescent="0.25">
      <c r="A7" s="145" t="str">
        <f>Довідник!$A$57</f>
        <v>Сметана</v>
      </c>
      <c r="B7" s="267">
        <f>Довідник!B$125*'Виробничий план'!B11*1000</f>
        <v>2880</v>
      </c>
      <c r="C7" s="267">
        <f>Довідник!C$125*'Виробничий план'!C11*1000</f>
        <v>3679.9999999999995</v>
      </c>
      <c r="D7" s="267">
        <f>Довідник!D$125*'Виробничий план'!D11*1000</f>
        <v>5948.7999999999993</v>
      </c>
      <c r="E7" s="267">
        <f>Довідник!E$125*'Виробничий план'!E11*1000</f>
        <v>8467.1999999999989</v>
      </c>
      <c r="F7" s="267">
        <f>Довідник!F$125*'Виробничий план'!F11*1000</f>
        <v>12143.999999999998</v>
      </c>
      <c r="G7" s="267">
        <f>Довідник!G$125*'Виробничий план'!G11*1000</f>
        <v>15052.8</v>
      </c>
      <c r="H7" s="267">
        <f>Довідник!H$125*'Виробничий план'!H11*1000</f>
        <v>18585.599999999999</v>
      </c>
      <c r="I7" s="267">
        <f>Довідник!I$125*'Виробничий план'!I11*1000</f>
        <v>18744</v>
      </c>
      <c r="J7" s="267">
        <f>Довідник!J$125*'Виробничий план'!J11*1000</f>
        <v>19051.199999999997</v>
      </c>
      <c r="K7" s="267">
        <f>Довідник!K$125*'Виробничий план'!K11*1000</f>
        <v>17337.600000000006</v>
      </c>
      <c r="L7" s="267">
        <f>Довідник!L$125*'Виробничий план'!L11*1000</f>
        <v>14559.999999999998</v>
      </c>
      <c r="M7" s="267">
        <f>Довідник!M$125*'Виробничий план'!M11*1000</f>
        <v>13824.000000000002</v>
      </c>
      <c r="N7" s="269">
        <f t="shared" si="0"/>
        <v>150275.19999999998</v>
      </c>
      <c r="Q7" s="498" t="s">
        <v>402</v>
      </c>
      <c r="R7" s="498"/>
      <c r="S7" s="498"/>
      <c r="T7" s="498"/>
      <c r="U7" s="498"/>
      <c r="V7" s="498"/>
    </row>
    <row r="8" spans="1:22" ht="13.2" customHeight="1" x14ac:dyDescent="0.25">
      <c r="A8" s="145" t="str">
        <f>Довідник!$A$58</f>
        <v>Сир м'який</v>
      </c>
      <c r="B8" s="267">
        <f>Довідник!B$125*'Виробничий план'!B13*1000</f>
        <v>8639.9999999999982</v>
      </c>
      <c r="C8" s="267">
        <f>Довідник!C$125*'Виробничий план'!C13*1000</f>
        <v>11040</v>
      </c>
      <c r="D8" s="267">
        <f>Довідник!D$125*'Виробничий план'!D13*1000</f>
        <v>17846.399999999998</v>
      </c>
      <c r="E8" s="267">
        <f>Довідник!E$125*'Виробничий план'!E13*1000</f>
        <v>25401.599999999999</v>
      </c>
      <c r="F8" s="267">
        <f>Довідник!F$125*'Виробничий план'!F13*1000</f>
        <v>36431.999999999993</v>
      </c>
      <c r="G8" s="267">
        <f>Довідник!G$125*'Виробничий план'!G13*1000</f>
        <v>45158.400000000001</v>
      </c>
      <c r="H8" s="267">
        <f>Довідник!H$125*'Виробничий план'!H13*1000</f>
        <v>55756.799999999996</v>
      </c>
      <c r="I8" s="267">
        <f>Довідник!I$125*'Виробничий план'!I13*1000</f>
        <v>56232</v>
      </c>
      <c r="J8" s="267">
        <f>Довідник!J$125*'Виробничий план'!J13*1000</f>
        <v>57153.600000000006</v>
      </c>
      <c r="K8" s="267">
        <f>Довідник!K$125*'Виробничий план'!K13*1000</f>
        <v>52012.800000000003</v>
      </c>
      <c r="L8" s="267">
        <f>Довідник!L$125*'Виробничий план'!L13*1000</f>
        <v>43679.999999999993</v>
      </c>
      <c r="M8" s="267">
        <f>Довідник!M$125*'Виробничий план'!M13*1000</f>
        <v>41472.000000000007</v>
      </c>
      <c r="N8" s="269">
        <f t="shared" si="0"/>
        <v>450825.6</v>
      </c>
      <c r="Q8" s="498"/>
      <c r="R8" s="498"/>
      <c r="S8" s="498"/>
      <c r="T8" s="498"/>
      <c r="U8" s="498"/>
      <c r="V8" s="498"/>
    </row>
    <row r="9" spans="1:22" ht="13.8" customHeight="1" thickBot="1" x14ac:dyDescent="0.3">
      <c r="A9" s="270" t="str">
        <f>Довідник!$A$61</f>
        <v>Сир Рікотта</v>
      </c>
      <c r="B9" s="271"/>
      <c r="C9" s="271"/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2">
        <f t="shared" si="0"/>
        <v>0</v>
      </c>
      <c r="Q9" s="498"/>
      <c r="R9" s="498"/>
      <c r="S9" s="498"/>
      <c r="T9" s="498"/>
      <c r="U9" s="498"/>
      <c r="V9" s="498"/>
    </row>
    <row r="10" spans="1:22" ht="13.8" customHeight="1" thickBot="1" x14ac:dyDescent="0.3">
      <c r="A10" s="273" t="s">
        <v>308</v>
      </c>
      <c r="B10" s="274">
        <f>SUM(B4:B9)</f>
        <v>28800</v>
      </c>
      <c r="C10" s="274">
        <f t="shared" ref="C10:N10" si="1">SUM(C4:C9)</f>
        <v>36800</v>
      </c>
      <c r="D10" s="274">
        <f t="shared" si="1"/>
        <v>59487.999999999985</v>
      </c>
      <c r="E10" s="274">
        <f t="shared" si="1"/>
        <v>84672</v>
      </c>
      <c r="F10" s="274">
        <f t="shared" si="1"/>
        <v>121439.99999999997</v>
      </c>
      <c r="G10" s="274">
        <f t="shared" si="1"/>
        <v>150528</v>
      </c>
      <c r="H10" s="274">
        <f t="shared" si="1"/>
        <v>185855.99999999997</v>
      </c>
      <c r="I10" s="274">
        <f t="shared" si="1"/>
        <v>187440</v>
      </c>
      <c r="J10" s="274">
        <f t="shared" si="1"/>
        <v>190512</v>
      </c>
      <c r="K10" s="274">
        <f t="shared" si="1"/>
        <v>173376.00000000003</v>
      </c>
      <c r="L10" s="274">
        <f t="shared" si="1"/>
        <v>145599.99999999997</v>
      </c>
      <c r="M10" s="274">
        <f t="shared" si="1"/>
        <v>138240.00000000003</v>
      </c>
      <c r="N10" s="275">
        <f t="shared" si="1"/>
        <v>1502752</v>
      </c>
      <c r="Q10" s="498"/>
      <c r="R10" s="498"/>
      <c r="S10" s="498"/>
      <c r="T10" s="498"/>
      <c r="U10" s="498"/>
      <c r="V10" s="498"/>
    </row>
    <row r="11" spans="1:22" ht="13.2" customHeight="1" x14ac:dyDescent="0.25">
      <c r="A11" s="276"/>
      <c r="B11" s="277"/>
      <c r="C11" s="277"/>
      <c r="D11" s="277"/>
      <c r="E11" s="277"/>
      <c r="F11" s="277"/>
      <c r="G11" s="277"/>
      <c r="H11" s="277"/>
      <c r="I11" s="277"/>
      <c r="J11" s="277"/>
      <c r="K11" s="277"/>
      <c r="L11" s="277"/>
      <c r="M11" s="277"/>
      <c r="N11" s="277"/>
      <c r="Q11" s="498"/>
      <c r="R11" s="498"/>
      <c r="S11" s="498"/>
      <c r="T11" s="498"/>
      <c r="U11" s="498"/>
      <c r="V11" s="498"/>
    </row>
    <row r="12" spans="1:22" ht="13.2" customHeight="1" x14ac:dyDescent="0.25">
      <c r="Q12" s="498"/>
      <c r="R12" s="498"/>
      <c r="S12" s="498"/>
      <c r="T12" s="498"/>
      <c r="U12" s="498"/>
      <c r="V12" s="498"/>
    </row>
    <row r="13" spans="1:22" ht="14.4" customHeight="1" thickBot="1" x14ac:dyDescent="0.3">
      <c r="A13" s="486" t="s">
        <v>310</v>
      </c>
      <c r="B13" s="486"/>
      <c r="C13" s="486"/>
      <c r="D13" s="486"/>
      <c r="E13" s="486"/>
      <c r="F13" s="486"/>
      <c r="G13" s="486"/>
      <c r="H13" s="486"/>
      <c r="I13" s="486"/>
      <c r="J13" s="486"/>
      <c r="K13" s="486"/>
      <c r="L13" s="486"/>
      <c r="M13" s="486"/>
      <c r="N13" s="486"/>
      <c r="Q13" s="498"/>
      <c r="R13" s="498"/>
      <c r="S13" s="498"/>
      <c r="T13" s="498"/>
      <c r="U13" s="498"/>
      <c r="V13" s="498"/>
    </row>
    <row r="14" spans="1:22" ht="13.2" customHeight="1" x14ac:dyDescent="0.25">
      <c r="A14" s="487" t="s">
        <v>32</v>
      </c>
      <c r="B14" s="489" t="s">
        <v>33</v>
      </c>
      <c r="C14" s="490"/>
      <c r="D14" s="490"/>
      <c r="E14" s="490"/>
      <c r="F14" s="490"/>
      <c r="G14" s="490"/>
      <c r="H14" s="490"/>
      <c r="I14" s="490"/>
      <c r="J14" s="490"/>
      <c r="K14" s="490"/>
      <c r="L14" s="490"/>
      <c r="M14" s="491"/>
      <c r="N14" s="492" t="s">
        <v>209</v>
      </c>
      <c r="Q14" s="498"/>
      <c r="R14" s="498"/>
      <c r="S14" s="498"/>
      <c r="T14" s="498"/>
      <c r="U14" s="498"/>
      <c r="V14" s="498"/>
    </row>
    <row r="15" spans="1:22" ht="13.8" thickBot="1" x14ac:dyDescent="0.3">
      <c r="A15" s="488"/>
      <c r="B15" s="249" t="s">
        <v>34</v>
      </c>
      <c r="C15" s="266" t="s">
        <v>35</v>
      </c>
      <c r="D15" s="266" t="s">
        <v>36</v>
      </c>
      <c r="E15" s="266" t="s">
        <v>37</v>
      </c>
      <c r="F15" s="266" t="s">
        <v>38</v>
      </c>
      <c r="G15" s="266" t="s">
        <v>39</v>
      </c>
      <c r="H15" s="266" t="s">
        <v>40</v>
      </c>
      <c r="I15" s="266" t="s">
        <v>41</v>
      </c>
      <c r="J15" s="266" t="s">
        <v>42</v>
      </c>
      <c r="K15" s="266" t="s">
        <v>43</v>
      </c>
      <c r="L15" s="266" t="s">
        <v>44</v>
      </c>
      <c r="M15" s="266" t="s">
        <v>45</v>
      </c>
      <c r="N15" s="493"/>
      <c r="Q15" s="498"/>
      <c r="R15" s="498"/>
      <c r="S15" s="498"/>
      <c r="T15" s="498"/>
      <c r="U15" s="498"/>
      <c r="V15" s="498"/>
    </row>
    <row r="16" spans="1:22" x14ac:dyDescent="0.25">
      <c r="A16" s="145" t="str">
        <f>Довідник!$A$54</f>
        <v>Молоко питне</v>
      </c>
      <c r="B16" s="267">
        <f>Довідник!B$126*'Виробничий план'!B23*1000</f>
        <v>16896</v>
      </c>
      <c r="C16" s="267">
        <f>Довідник!C$126*'Виробничий план'!C23*1000</f>
        <v>19940.8</v>
      </c>
      <c r="D16" s="267">
        <f>Довідник!D$126*'Виробничий план'!D23*1000</f>
        <v>29272.320000000003</v>
      </c>
      <c r="E16" s="267">
        <f>Довідник!E$126*'Виробничий план'!E23*1000</f>
        <v>31878</v>
      </c>
      <c r="F16" s="267">
        <f>Довідник!F$126*'Виробничий план'!F23*1000</f>
        <v>35622.400000000009</v>
      </c>
      <c r="G16" s="267">
        <f>Довідник!G$126*'Виробничий план'!G23*1000</f>
        <v>35481.599999999999</v>
      </c>
      <c r="H16" s="267">
        <f>Довідник!H$126*'Виробничий план'!H23*1000</f>
        <v>37171.199999999997</v>
      </c>
      <c r="I16" s="267">
        <f>Довідник!I$126*'Виробничий план'!I23*1000</f>
        <v>39029.760000000002</v>
      </c>
      <c r="J16" s="267">
        <f>Довідник!J$126*'Виробничий план'!J23*1000</f>
        <v>36313.200000000004</v>
      </c>
      <c r="K16" s="267">
        <f>Довідник!K$126*'Виробничий план'!K23*1000</f>
        <v>30159.359999999997</v>
      </c>
      <c r="L16" s="267">
        <f>Довідник!L$126*'Виробничий план'!L23*1000</f>
        <v>30412.799999999999</v>
      </c>
      <c r="M16" s="267">
        <f>Довідник!M$126*'Виробничий план'!M23*1000</f>
        <v>25695.999999999996</v>
      </c>
      <c r="N16" s="268">
        <f>SUM(B16:M16)</f>
        <v>367873.44</v>
      </c>
    </row>
    <row r="17" spans="1:14" x14ac:dyDescent="0.25">
      <c r="A17" s="145" t="str">
        <f>Довідник!$A$55</f>
        <v>Сир кисломолочний</v>
      </c>
      <c r="B17" s="267">
        <f>Довідник!B$126*'Виробничий план'!B25*1000</f>
        <v>33792</v>
      </c>
      <c r="C17" s="267">
        <f>Довідник!C$126*'Виробничий план'!C25*1000</f>
        <v>39881.599999999999</v>
      </c>
      <c r="D17" s="267">
        <f>Довідник!D$126*'Виробничий план'!D25*1000</f>
        <v>58544.640000000007</v>
      </c>
      <c r="E17" s="267">
        <f>Довідник!E$126*'Виробничий план'!E25*1000</f>
        <v>63756</v>
      </c>
      <c r="F17" s="267">
        <f>Довідник!F$126*'Виробничий план'!F25*1000</f>
        <v>71244.800000000017</v>
      </c>
      <c r="G17" s="267">
        <f>Довідник!G$126*'Виробничий план'!G25*1000</f>
        <v>70963.199999999997</v>
      </c>
      <c r="H17" s="267">
        <f>Довідник!H$126*'Виробничий план'!H25*1000</f>
        <v>74342.399999999994</v>
      </c>
      <c r="I17" s="267">
        <f>Довідник!I$126*'Виробничий план'!I25*1000</f>
        <v>78059.520000000004</v>
      </c>
      <c r="J17" s="267">
        <f>Довідник!J$126*'Виробничий план'!J25*1000</f>
        <v>72626.400000000009</v>
      </c>
      <c r="K17" s="267">
        <f>Довідник!K$126*'Виробничий план'!K25*1000</f>
        <v>60318.719999999994</v>
      </c>
      <c r="L17" s="267">
        <f>Довідник!L$126*'Виробничий план'!L25*1000</f>
        <v>60825.599999999999</v>
      </c>
      <c r="M17" s="267">
        <f>Довідник!M$126*'Виробничий план'!M25*1000</f>
        <v>51391.999999999993</v>
      </c>
      <c r="N17" s="269">
        <f t="shared" ref="N17:N21" si="2">SUM(B17:M17)</f>
        <v>735746.88</v>
      </c>
    </row>
    <row r="18" spans="1:14" x14ac:dyDescent="0.25">
      <c r="A18" s="145" t="str">
        <f>Довідник!$A$56</f>
        <v>Кефір</v>
      </c>
      <c r="B18" s="267">
        <f>Довідник!B$126*'Виробничий план'!B27*1000</f>
        <v>50687.999999999993</v>
      </c>
      <c r="C18" s="267">
        <f>Довідник!C$126*'Виробничий план'!C27*1000</f>
        <v>59822.400000000009</v>
      </c>
      <c r="D18" s="267">
        <f>Довідник!D$126*'Виробничий план'!D27*1000</f>
        <v>87816.960000000006</v>
      </c>
      <c r="E18" s="267">
        <f>Довідник!E$126*'Виробничий план'!E27*1000</f>
        <v>95633.999999999985</v>
      </c>
      <c r="F18" s="267">
        <f>Довідник!F$126*'Виробничий план'!F27*1000</f>
        <v>106867.2</v>
      </c>
      <c r="G18" s="267">
        <f>Довідник!G$126*'Виробничий план'!G27*1000</f>
        <v>106444.8</v>
      </c>
      <c r="H18" s="267">
        <f>Довідник!H$126*'Виробничий план'!H27*1000</f>
        <v>111513.59999999999</v>
      </c>
      <c r="I18" s="267">
        <f>Довідник!I$126*'Виробничий план'!I27*1000</f>
        <v>117089.28000000001</v>
      </c>
      <c r="J18" s="267">
        <f>Довідник!J$126*'Виробничий план'!J27*1000</f>
        <v>108939.6</v>
      </c>
      <c r="K18" s="267">
        <f>Довідник!K$126*'Виробничий план'!K27*1000</f>
        <v>90478.079999999987</v>
      </c>
      <c r="L18" s="267">
        <f>Довідник!L$126*'Виробничий план'!L27*1000</f>
        <v>91238.400000000009</v>
      </c>
      <c r="M18" s="267">
        <f>Довідник!M$126*'Виробничий план'!M27*1000</f>
        <v>77088</v>
      </c>
      <c r="N18" s="269">
        <f t="shared" si="2"/>
        <v>1103620.3199999998</v>
      </c>
    </row>
    <row r="19" spans="1:14" x14ac:dyDescent="0.25">
      <c r="A19" s="145" t="str">
        <f>Довідник!$A$57</f>
        <v>Сметана</v>
      </c>
      <c r="B19" s="267">
        <f>Довідник!B$126*'Виробничий план'!B29*1000</f>
        <v>16896</v>
      </c>
      <c r="C19" s="267">
        <f>Довідник!C$126*'Виробничий план'!C29*1000</f>
        <v>19940.8</v>
      </c>
      <c r="D19" s="267">
        <f>Довідник!D$126*'Виробничий план'!D29*1000</f>
        <v>29272.320000000003</v>
      </c>
      <c r="E19" s="267">
        <f>Довідник!E$126*'Виробничий план'!E29*1000</f>
        <v>31878</v>
      </c>
      <c r="F19" s="267">
        <f>Довідник!F$126*'Виробничий план'!F29*1000</f>
        <v>35622.400000000009</v>
      </c>
      <c r="G19" s="267">
        <f>Довідник!G$126*'Виробничий план'!G29*1000</f>
        <v>35481.599999999999</v>
      </c>
      <c r="H19" s="267">
        <f>Довідник!H$126*'Виробничий план'!H29*1000</f>
        <v>37171.199999999997</v>
      </c>
      <c r="I19" s="267">
        <f>Довідник!I$126*'Виробничий план'!I29*1000</f>
        <v>39029.760000000002</v>
      </c>
      <c r="J19" s="267">
        <f>Довідник!J$126*'Виробничий план'!J29*1000</f>
        <v>36313.200000000004</v>
      </c>
      <c r="K19" s="267">
        <f>Довідник!K$126*'Виробничий план'!K29*1000</f>
        <v>30159.359999999997</v>
      </c>
      <c r="L19" s="267">
        <f>Довідник!L$126*'Виробничий план'!L29*1000</f>
        <v>30412.799999999999</v>
      </c>
      <c r="M19" s="267">
        <f>Довідник!M$126*'Виробничий план'!M29*1000</f>
        <v>25695.999999999996</v>
      </c>
      <c r="N19" s="269">
        <f t="shared" si="2"/>
        <v>367873.44</v>
      </c>
    </row>
    <row r="20" spans="1:14" x14ac:dyDescent="0.25">
      <c r="A20" s="145" t="str">
        <f>Довідник!$A$58</f>
        <v>Сир м'який</v>
      </c>
      <c r="B20" s="267">
        <f>Довідник!B$126*'Виробничий план'!B31*1000</f>
        <v>50687.999999999993</v>
      </c>
      <c r="C20" s="267">
        <f>Довідник!C$126*'Виробничий план'!C31*1000</f>
        <v>59822.400000000009</v>
      </c>
      <c r="D20" s="267">
        <f>Довідник!D$126*'Виробничий план'!D31*1000</f>
        <v>87816.960000000006</v>
      </c>
      <c r="E20" s="267">
        <f>Довідник!E$126*'Виробничий план'!E31*1000</f>
        <v>95633.999999999985</v>
      </c>
      <c r="F20" s="267">
        <f>Довідник!F$126*'Виробничий план'!F31*1000</f>
        <v>106867.2</v>
      </c>
      <c r="G20" s="267">
        <f>Довідник!G$126*'Виробничий план'!G31*1000</f>
        <v>106444.8</v>
      </c>
      <c r="H20" s="267">
        <f>Довідник!H$126*'Виробничий план'!H31*1000</f>
        <v>111513.59999999999</v>
      </c>
      <c r="I20" s="267">
        <f>Довідник!I$126*'Виробничий план'!I31*1000</f>
        <v>117089.28000000001</v>
      </c>
      <c r="J20" s="267">
        <f>Довідник!J$126*'Виробничий план'!J31*1000</f>
        <v>108939.6</v>
      </c>
      <c r="K20" s="267">
        <f>Довідник!K$126*'Виробничий план'!K31*1000</f>
        <v>90478.079999999987</v>
      </c>
      <c r="L20" s="267">
        <f>Довідник!L$126*'Виробничий план'!L31*1000</f>
        <v>91238.400000000009</v>
      </c>
      <c r="M20" s="267">
        <f>Довідник!M$126*'Виробничий план'!M31*1000</f>
        <v>77088</v>
      </c>
      <c r="N20" s="269">
        <f t="shared" si="2"/>
        <v>1103620.3199999998</v>
      </c>
    </row>
    <row r="21" spans="1:14" ht="13.8" thickBot="1" x14ac:dyDescent="0.3">
      <c r="A21" s="150" t="str">
        <f>Довідник!$A$61</f>
        <v>Сир Рікотта</v>
      </c>
      <c r="B21" s="267"/>
      <c r="C21" s="267"/>
      <c r="D21" s="267"/>
      <c r="E21" s="267"/>
      <c r="F21" s="267"/>
      <c r="G21" s="267"/>
      <c r="H21" s="267"/>
      <c r="I21" s="267"/>
      <c r="J21" s="267"/>
      <c r="K21" s="267"/>
      <c r="L21" s="267"/>
      <c r="M21" s="267"/>
      <c r="N21" s="269">
        <f t="shared" si="2"/>
        <v>0</v>
      </c>
    </row>
    <row r="22" spans="1:14" ht="13.8" thickBot="1" x14ac:dyDescent="0.3">
      <c r="A22" s="273" t="s">
        <v>308</v>
      </c>
      <c r="B22" s="274">
        <f>SUM(B16:B21)</f>
        <v>168960</v>
      </c>
      <c r="C22" s="274">
        <f t="shared" ref="C22" si="3">SUM(C16:C21)</f>
        <v>199408</v>
      </c>
      <c r="D22" s="274">
        <f t="shared" ref="D22" si="4">SUM(D16:D21)</f>
        <v>292723.20000000001</v>
      </c>
      <c r="E22" s="274">
        <f t="shared" ref="E22" si="5">SUM(E16:E21)</f>
        <v>318780</v>
      </c>
      <c r="F22" s="274">
        <f t="shared" ref="F22" si="6">SUM(F16:F21)</f>
        <v>356224.00000000006</v>
      </c>
      <c r="G22" s="274">
        <f t="shared" ref="G22" si="7">SUM(G16:G21)</f>
        <v>354816</v>
      </c>
      <c r="H22" s="274">
        <f t="shared" ref="H22" si="8">SUM(H16:H21)</f>
        <v>371711.99999999994</v>
      </c>
      <c r="I22" s="274">
        <f t="shared" ref="I22" si="9">SUM(I16:I21)</f>
        <v>390297.60000000003</v>
      </c>
      <c r="J22" s="274">
        <f t="shared" ref="J22" si="10">SUM(J16:J21)</f>
        <v>363132</v>
      </c>
      <c r="K22" s="274">
        <f t="shared" ref="K22" si="11">SUM(K16:K21)</f>
        <v>301593.59999999998</v>
      </c>
      <c r="L22" s="274">
        <f t="shared" ref="L22" si="12">SUM(L16:L21)</f>
        <v>304128</v>
      </c>
      <c r="M22" s="274">
        <f t="shared" ref="M22" si="13">SUM(M16:M21)</f>
        <v>256960</v>
      </c>
      <c r="N22" s="275">
        <f t="shared" ref="N22" si="14">SUM(N16:N21)</f>
        <v>3678734.3999999994</v>
      </c>
    </row>
    <row r="25" spans="1:14" ht="14.4" customHeight="1" thickBot="1" x14ac:dyDescent="0.3">
      <c r="A25" s="486" t="s">
        <v>310</v>
      </c>
      <c r="B25" s="486"/>
      <c r="C25" s="486"/>
      <c r="D25" s="486"/>
      <c r="E25" s="486"/>
      <c r="F25" s="486"/>
      <c r="G25" s="486"/>
      <c r="H25" s="486"/>
      <c r="I25" s="486"/>
      <c r="J25" s="486"/>
      <c r="K25" s="486"/>
      <c r="L25" s="486"/>
      <c r="M25" s="486"/>
      <c r="N25" s="486"/>
    </row>
    <row r="26" spans="1:14" x14ac:dyDescent="0.25">
      <c r="A26" s="487" t="s">
        <v>32</v>
      </c>
      <c r="B26" s="489" t="s">
        <v>33</v>
      </c>
      <c r="C26" s="490"/>
      <c r="D26" s="490"/>
      <c r="E26" s="490"/>
      <c r="F26" s="490"/>
      <c r="G26" s="490"/>
      <c r="H26" s="490"/>
      <c r="I26" s="490"/>
      <c r="J26" s="490"/>
      <c r="K26" s="490"/>
      <c r="L26" s="490"/>
      <c r="M26" s="491"/>
      <c r="N26" s="492" t="s">
        <v>209</v>
      </c>
    </row>
    <row r="27" spans="1:14" ht="13.8" thickBot="1" x14ac:dyDescent="0.3">
      <c r="A27" s="488"/>
      <c r="B27" s="249" t="s">
        <v>34</v>
      </c>
      <c r="C27" s="266" t="s">
        <v>35</v>
      </c>
      <c r="D27" s="266" t="s">
        <v>36</v>
      </c>
      <c r="E27" s="266" t="s">
        <v>37</v>
      </c>
      <c r="F27" s="266" t="s">
        <v>38</v>
      </c>
      <c r="G27" s="266" t="s">
        <v>39</v>
      </c>
      <c r="H27" s="266" t="s">
        <v>40</v>
      </c>
      <c r="I27" s="266" t="s">
        <v>41</v>
      </c>
      <c r="J27" s="266" t="s">
        <v>42</v>
      </c>
      <c r="K27" s="266" t="s">
        <v>43</v>
      </c>
      <c r="L27" s="266" t="s">
        <v>44</v>
      </c>
      <c r="M27" s="266" t="s">
        <v>45</v>
      </c>
      <c r="N27" s="493"/>
    </row>
    <row r="28" spans="1:14" x14ac:dyDescent="0.25">
      <c r="A28" s="145" t="str">
        <f>Довідник!$A$54</f>
        <v>Молоко питне</v>
      </c>
      <c r="B28" s="267">
        <f>Довідник!B$127*'Виробничий план'!B41*1000</f>
        <v>28031.999999999996</v>
      </c>
      <c r="C28" s="267">
        <f>Довідник!C$127*'Виробничий план'!C41*1000</f>
        <v>34790.400000000001</v>
      </c>
      <c r="D28" s="267">
        <f>Довідник!D$127*'Виробничий план'!D41*1000</f>
        <v>46421.760000000002</v>
      </c>
      <c r="E28" s="267">
        <f>Довідник!E$127*'Виробничий план'!E41*1000</f>
        <v>48686.400000000001</v>
      </c>
      <c r="F28" s="267">
        <f>Довідник!F$127*'Виробничий план'!F41*1000</f>
        <v>56094.720000000008</v>
      </c>
      <c r="G28" s="267">
        <f>Довідник!G$127*'Виробничий план'!G41*1000</f>
        <v>56891.519999999997</v>
      </c>
      <c r="H28" s="267">
        <f>Довідник!H$127*'Виробничий план'!H41*1000</f>
        <v>59959.680000000008</v>
      </c>
      <c r="I28" s="267">
        <f>Довідник!I$127*'Виробничий план'!I41*1000</f>
        <v>59959.680000000008</v>
      </c>
      <c r="J28" s="267">
        <f>Довідник!J$127*'Виробничий план'!J41*1000</f>
        <v>55802.880000000005</v>
      </c>
      <c r="K28" s="267">
        <f>Довідник!K$127*'Виробничий план'!K41*1000</f>
        <v>53827.199999999997</v>
      </c>
      <c r="L28" s="267">
        <f>Довідник!L$127*'Виробничий план'!L41*1000</f>
        <v>41472.000000000007</v>
      </c>
      <c r="M28" s="267">
        <f>Довідник!M$127*'Виробничий план'!M41*1000</f>
        <v>34944</v>
      </c>
      <c r="N28" s="268">
        <f>SUM(B28:M28)</f>
        <v>576882.24</v>
      </c>
    </row>
    <row r="29" spans="1:14" x14ac:dyDescent="0.25">
      <c r="A29" s="145" t="str">
        <f>Довідник!$A$55</f>
        <v>Сир кисломолочний</v>
      </c>
      <c r="B29" s="267">
        <f>Довідник!B$127*'Виробничий план'!B43*1000</f>
        <v>56063.999999999993</v>
      </c>
      <c r="C29" s="267">
        <f>Довідник!C$127*'Виробничий план'!C43*1000</f>
        <v>69580.800000000003</v>
      </c>
      <c r="D29" s="267">
        <f>Довідник!D$127*'Виробничий план'!D43*1000</f>
        <v>92843.520000000004</v>
      </c>
      <c r="E29" s="267">
        <f>Довідник!E$127*'Виробничий план'!E43*1000</f>
        <v>97372.800000000003</v>
      </c>
      <c r="F29" s="267">
        <f>Довідник!F$127*'Виробничий план'!F43*1000</f>
        <v>112189.44000000002</v>
      </c>
      <c r="G29" s="267">
        <f>Довідник!G$127*'Виробничий план'!G43*1000</f>
        <v>113783.03999999999</v>
      </c>
      <c r="H29" s="267">
        <f>Довідник!H$127*'Виробничий план'!H43*1000</f>
        <v>119919.36000000002</v>
      </c>
      <c r="I29" s="267">
        <f>Довідник!I$127*'Виробничий план'!I43*1000</f>
        <v>119919.36000000002</v>
      </c>
      <c r="J29" s="267">
        <f>Довідник!J$127*'Виробничий план'!J43*1000</f>
        <v>111605.76000000001</v>
      </c>
      <c r="K29" s="267">
        <f>Довідник!K$127*'Виробничий план'!K43*1000</f>
        <v>107654.39999999999</v>
      </c>
      <c r="L29" s="267">
        <f>Довідник!L$127*'Виробничий план'!L43*1000</f>
        <v>82944.000000000015</v>
      </c>
      <c r="M29" s="267">
        <f>Довідник!M$127*'Виробничий план'!M43*1000</f>
        <v>69888</v>
      </c>
      <c r="N29" s="269">
        <f t="shared" ref="N29:N33" si="15">SUM(B29:M29)</f>
        <v>1153764.48</v>
      </c>
    </row>
    <row r="30" spans="1:14" x14ac:dyDescent="0.25">
      <c r="A30" s="145" t="str">
        <f>Довідник!$A$56</f>
        <v>Кефір</v>
      </c>
      <c r="B30" s="267">
        <f>Довідник!B$127*'Виробничий план'!B45*1000</f>
        <v>84095.999999999985</v>
      </c>
      <c r="C30" s="267">
        <f>Довідник!C$127*'Виробничий план'!C45*1000</f>
        <v>104371.19999999998</v>
      </c>
      <c r="D30" s="267">
        <f>Довідник!D$127*'Виробничий план'!D45*1000</f>
        <v>139265.28000000003</v>
      </c>
      <c r="E30" s="267">
        <f>Довідник!E$127*'Виробничий план'!E45*1000</f>
        <v>146059.20000000004</v>
      </c>
      <c r="F30" s="267">
        <f>Довідник!F$127*'Виробничий план'!F45*1000</f>
        <v>168284.16000000003</v>
      </c>
      <c r="G30" s="267">
        <f>Довідник!G$127*'Виробничий план'!G45*1000</f>
        <v>170674.56</v>
      </c>
      <c r="H30" s="267">
        <f>Довідник!H$127*'Виробничий план'!H45*1000</f>
        <v>179879.04000000001</v>
      </c>
      <c r="I30" s="267">
        <f>Довідник!I$127*'Виробничий план'!I45*1000</f>
        <v>179879.04000000001</v>
      </c>
      <c r="J30" s="267">
        <f>Довідник!J$127*'Виробничий план'!J45*1000</f>
        <v>167408.63999999998</v>
      </c>
      <c r="K30" s="267">
        <f>Довідник!K$127*'Виробничий план'!K45*1000</f>
        <v>161481.60000000001</v>
      </c>
      <c r="L30" s="267">
        <f>Довідник!L$127*'Виробничий план'!L45*1000</f>
        <v>124416.00000000003</v>
      </c>
      <c r="M30" s="267">
        <f>Довідник!M$127*'Виробничий план'!M45*1000</f>
        <v>104832</v>
      </c>
      <c r="N30" s="269">
        <f t="shared" si="15"/>
        <v>1730646.7200000002</v>
      </c>
    </row>
    <row r="31" spans="1:14" x14ac:dyDescent="0.25">
      <c r="A31" s="145" t="str">
        <f>Довідник!$A$57</f>
        <v>Сметана</v>
      </c>
      <c r="B31" s="267">
        <f>Довідник!B$127*'Виробничий план'!B47*1000</f>
        <v>28031.999999999996</v>
      </c>
      <c r="C31" s="267">
        <f>Довідник!C$127*'Виробничий план'!C47*1000</f>
        <v>34790.400000000001</v>
      </c>
      <c r="D31" s="267">
        <f>Довідник!D$127*'Виробничий план'!D47*1000</f>
        <v>46421.760000000002</v>
      </c>
      <c r="E31" s="267">
        <f>Довідник!E$127*'Виробничий план'!E47*1000</f>
        <v>48686.400000000001</v>
      </c>
      <c r="F31" s="267">
        <f>Довідник!F$127*'Виробничий план'!F47*1000</f>
        <v>56094.720000000008</v>
      </c>
      <c r="G31" s="267">
        <f>Довідник!G$127*'Виробничий план'!G47*1000</f>
        <v>56891.519999999997</v>
      </c>
      <c r="H31" s="267">
        <f>Довідник!H$127*'Виробничий план'!H47*1000</f>
        <v>59959.680000000008</v>
      </c>
      <c r="I31" s="267">
        <f>Довідник!I$127*'Виробничий план'!I47*1000</f>
        <v>59959.680000000008</v>
      </c>
      <c r="J31" s="267">
        <f>Довідник!J$127*'Виробничий план'!J47*1000</f>
        <v>55802.880000000005</v>
      </c>
      <c r="K31" s="267">
        <f>Довідник!K$127*'Виробничий план'!K47*1000</f>
        <v>53827.199999999997</v>
      </c>
      <c r="L31" s="267">
        <f>Довідник!L$127*'Виробничий план'!L47*1000</f>
        <v>41472.000000000007</v>
      </c>
      <c r="M31" s="267">
        <f>Довідник!M$127*'Виробничий план'!M47*1000</f>
        <v>34944</v>
      </c>
      <c r="N31" s="269">
        <f t="shared" si="15"/>
        <v>576882.24</v>
      </c>
    </row>
    <row r="32" spans="1:14" x14ac:dyDescent="0.25">
      <c r="A32" s="145" t="str">
        <f>Довідник!$A$58</f>
        <v>Сир м'який</v>
      </c>
      <c r="B32" s="267">
        <f>Довідник!B$127*'Виробничий план'!B49*1000</f>
        <v>84095.999999999985</v>
      </c>
      <c r="C32" s="267">
        <f>Довідник!C$127*'Виробничий план'!C49*1000</f>
        <v>104371.19999999998</v>
      </c>
      <c r="D32" s="267">
        <f>Довідник!D$127*'Виробничий план'!D49*1000</f>
        <v>139265.28000000003</v>
      </c>
      <c r="E32" s="267">
        <f>Довідник!E$127*'Виробничий план'!E49*1000</f>
        <v>146059.20000000004</v>
      </c>
      <c r="F32" s="267">
        <f>Довідник!F$127*'Виробничий план'!F49*1000</f>
        <v>168284.16000000003</v>
      </c>
      <c r="G32" s="267">
        <f>Довідник!G$127*'Виробничий план'!G49*1000</f>
        <v>170674.56</v>
      </c>
      <c r="H32" s="267">
        <f>Довідник!H$127*'Виробничий план'!H49*1000</f>
        <v>179879.04000000001</v>
      </c>
      <c r="I32" s="267">
        <f>Довідник!I$127*'Виробничий план'!I49*1000</f>
        <v>179879.04000000001</v>
      </c>
      <c r="J32" s="267">
        <f>Довідник!J$127*'Виробничий план'!J49*1000</f>
        <v>167408.63999999998</v>
      </c>
      <c r="K32" s="267">
        <f>Довідник!K$127*'Виробничий план'!K49*1000</f>
        <v>161481.60000000001</v>
      </c>
      <c r="L32" s="267">
        <f>Довідник!L$127*'Виробничий план'!L49*1000</f>
        <v>124416.00000000003</v>
      </c>
      <c r="M32" s="267">
        <f>Довідник!M$127*'Виробничий план'!M49*1000</f>
        <v>104832</v>
      </c>
      <c r="N32" s="269">
        <f t="shared" si="15"/>
        <v>1730646.7200000002</v>
      </c>
    </row>
    <row r="33" spans="1:14" ht="13.8" thickBot="1" x14ac:dyDescent="0.3">
      <c r="A33" s="150" t="str">
        <f>Довідник!$A$61</f>
        <v>Сир Рікотта</v>
      </c>
      <c r="B33" s="267"/>
      <c r="C33" s="267"/>
      <c r="D33" s="267"/>
      <c r="E33" s="267"/>
      <c r="F33" s="267"/>
      <c r="G33" s="267"/>
      <c r="H33" s="267"/>
      <c r="I33" s="267"/>
      <c r="J33" s="267"/>
      <c r="K33" s="267"/>
      <c r="L33" s="267"/>
      <c r="M33" s="267"/>
      <c r="N33" s="269">
        <f t="shared" si="15"/>
        <v>0</v>
      </c>
    </row>
    <row r="34" spans="1:14" ht="13.8" thickBot="1" x14ac:dyDescent="0.3">
      <c r="A34" s="273" t="s">
        <v>308</v>
      </c>
      <c r="B34" s="274">
        <f>SUM(B28:B33)</f>
        <v>280319.99999999994</v>
      </c>
      <c r="C34" s="274">
        <f t="shared" ref="C34" si="16">SUM(C28:C33)</f>
        <v>347904</v>
      </c>
      <c r="D34" s="274">
        <f t="shared" ref="D34" si="17">SUM(D28:D33)</f>
        <v>464217.60000000009</v>
      </c>
      <c r="E34" s="274">
        <f t="shared" ref="E34" si="18">SUM(E28:E33)</f>
        <v>486864.00000000012</v>
      </c>
      <c r="F34" s="274">
        <f t="shared" ref="F34" si="19">SUM(F28:F33)</f>
        <v>560947.20000000019</v>
      </c>
      <c r="G34" s="274">
        <f t="shared" ref="G34" si="20">SUM(G28:G33)</f>
        <v>568915.19999999995</v>
      </c>
      <c r="H34" s="274">
        <f t="shared" ref="H34" si="21">SUM(H28:H33)</f>
        <v>599596.80000000005</v>
      </c>
      <c r="I34" s="274">
        <f t="shared" ref="I34" si="22">SUM(I28:I33)</f>
        <v>599596.80000000005</v>
      </c>
      <c r="J34" s="274">
        <f t="shared" ref="J34" si="23">SUM(J28:J33)</f>
        <v>558028.80000000005</v>
      </c>
      <c r="K34" s="274">
        <f t="shared" ref="K34" si="24">SUM(K28:K33)</f>
        <v>538272</v>
      </c>
      <c r="L34" s="274">
        <f t="shared" ref="L34" si="25">SUM(L28:L33)</f>
        <v>414720.00000000012</v>
      </c>
      <c r="M34" s="274">
        <f t="shared" ref="M34" si="26">SUM(M28:M33)</f>
        <v>349440</v>
      </c>
      <c r="N34" s="275">
        <f t="shared" ref="N34" si="27">SUM(N28:N33)</f>
        <v>5768822.4000000004</v>
      </c>
    </row>
  </sheetData>
  <sheetProtection algorithmName="SHA-512" hashValue="WwkP7PBT8hT61OUTrH6FQGabsz6COGMhBVph9Fcjzlvdg6dGrp8ERGm3uaXmWruf9N9K3cDLmydJMo3GoKaeig==" saltValue="/vTkYUd9uTaK49QNZjz39w==" spinCount="100000" sheet="1" objects="1" scenarios="1"/>
  <mergeCells count="15">
    <mergeCell ref="A1:N1"/>
    <mergeCell ref="A2:A3"/>
    <mergeCell ref="B2:M2"/>
    <mergeCell ref="N2:N3"/>
    <mergeCell ref="A13:N13"/>
    <mergeCell ref="Q2:R2"/>
    <mergeCell ref="Q3:V5"/>
    <mergeCell ref="A25:N25"/>
    <mergeCell ref="A26:A27"/>
    <mergeCell ref="B26:M26"/>
    <mergeCell ref="N26:N27"/>
    <mergeCell ref="A14:A15"/>
    <mergeCell ref="B14:M14"/>
    <mergeCell ref="N14:N15"/>
    <mergeCell ref="Q7:V15"/>
  </mergeCells>
  <pageMargins left="0.7" right="0.7" top="0.75" bottom="0.75" header="0.3" footer="0.3"/>
  <pageSetup paperSize="9" orientation="portrait" r:id="rId1"/>
  <ignoredErrors>
    <ignoredError sqref="B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C21CC-BEDA-48CE-A547-2826A71C62EF}">
  <sheetPr>
    <tabColor rgb="FFFF0000"/>
  </sheetPr>
  <dimension ref="A2:P146"/>
  <sheetViews>
    <sheetView tabSelected="1" workbookViewId="0">
      <selection activeCell="Q11" sqref="Q11"/>
    </sheetView>
  </sheetViews>
  <sheetFormatPr defaultRowHeight="14.4" x14ac:dyDescent="0.3"/>
  <cols>
    <col min="1" max="1" width="24.6640625" customWidth="1"/>
    <col min="4" max="4" width="8.88671875" customWidth="1"/>
    <col min="6" max="6" width="10" customWidth="1"/>
    <col min="8" max="8" width="8.88671875" customWidth="1"/>
  </cols>
  <sheetData>
    <row r="2" spans="1:4" x14ac:dyDescent="0.3">
      <c r="A2" s="438" t="s">
        <v>5</v>
      </c>
      <c r="D2" s="90"/>
    </row>
    <row r="3" spans="1:4" ht="15" thickBot="1" x14ac:dyDescent="0.35">
      <c r="A3" s="470"/>
      <c r="B3" s="470"/>
    </row>
    <row r="4" spans="1:4" s="3" customFormat="1" ht="15" thickBot="1" x14ac:dyDescent="0.35">
      <c r="A4" s="54" t="s">
        <v>6</v>
      </c>
      <c r="B4" s="55" t="s">
        <v>7</v>
      </c>
    </row>
    <row r="5" spans="1:4" x14ac:dyDescent="0.3">
      <c r="A5" s="91" t="s">
        <v>8</v>
      </c>
      <c r="B5" s="92">
        <v>5</v>
      </c>
      <c r="D5" s="89" t="s">
        <v>9</v>
      </c>
    </row>
    <row r="6" spans="1:4" x14ac:dyDescent="0.3">
      <c r="A6" s="93" t="s">
        <v>10</v>
      </c>
      <c r="B6" s="94">
        <v>2</v>
      </c>
      <c r="D6" s="89" t="s">
        <v>11</v>
      </c>
    </row>
    <row r="7" spans="1:4" x14ac:dyDescent="0.3">
      <c r="A7" s="93" t="s">
        <v>12</v>
      </c>
      <c r="B7" s="94">
        <v>3</v>
      </c>
    </row>
    <row r="8" spans="1:4" x14ac:dyDescent="0.3">
      <c r="A8" s="93" t="s">
        <v>13</v>
      </c>
      <c r="B8" s="94">
        <v>8</v>
      </c>
    </row>
    <row r="9" spans="1:4" x14ac:dyDescent="0.3">
      <c r="A9" s="93" t="s">
        <v>14</v>
      </c>
      <c r="B9" s="94">
        <v>10</v>
      </c>
    </row>
    <row r="10" spans="1:4" x14ac:dyDescent="0.3">
      <c r="A10" s="93" t="s">
        <v>15</v>
      </c>
      <c r="B10" s="94">
        <v>8</v>
      </c>
    </row>
    <row r="11" spans="1:4" x14ac:dyDescent="0.3">
      <c r="A11" s="93" t="s">
        <v>16</v>
      </c>
      <c r="B11" s="94">
        <v>7</v>
      </c>
    </row>
    <row r="12" spans="1:4" x14ac:dyDescent="0.3">
      <c r="A12" s="93" t="s">
        <v>17</v>
      </c>
      <c r="B12" s="94">
        <v>30</v>
      </c>
      <c r="D12" s="89" t="s">
        <v>18</v>
      </c>
    </row>
    <row r="13" spans="1:4" ht="15" thickBot="1" x14ac:dyDescent="0.35">
      <c r="A13" s="95" t="s">
        <v>19</v>
      </c>
      <c r="B13" s="96">
        <v>15</v>
      </c>
      <c r="D13" s="89" t="s">
        <v>20</v>
      </c>
    </row>
    <row r="15" spans="1:4" ht="15" thickBot="1" x14ac:dyDescent="0.35"/>
    <row r="16" spans="1:4" ht="72.599999999999994" thickBot="1" x14ac:dyDescent="0.35">
      <c r="A16" s="57" t="s">
        <v>21</v>
      </c>
      <c r="B16" s="58" t="s">
        <v>22</v>
      </c>
      <c r="C16" s="59" t="s">
        <v>23</v>
      </c>
    </row>
    <row r="17" spans="1:16" x14ac:dyDescent="0.3">
      <c r="A17" s="91" t="s">
        <v>24</v>
      </c>
      <c r="B17" s="97" t="s">
        <v>25</v>
      </c>
      <c r="C17" s="92">
        <v>14</v>
      </c>
      <c r="E17" s="89" t="s">
        <v>26</v>
      </c>
    </row>
    <row r="18" spans="1:16" x14ac:dyDescent="0.3">
      <c r="A18" s="90" t="s">
        <v>27</v>
      </c>
      <c r="B18" s="90" t="s">
        <v>28</v>
      </c>
      <c r="C18" s="94">
        <v>12</v>
      </c>
    </row>
    <row r="19" spans="1:16" x14ac:dyDescent="0.3">
      <c r="A19" s="93" t="s">
        <v>29</v>
      </c>
      <c r="B19" s="90" t="s">
        <v>30</v>
      </c>
      <c r="C19" s="94">
        <v>10</v>
      </c>
      <c r="E19" s="114"/>
      <c r="F19" s="114"/>
      <c r="G19" s="114"/>
      <c r="H19" s="115"/>
      <c r="I19" s="115"/>
      <c r="J19" s="115"/>
      <c r="K19" s="115"/>
      <c r="L19" s="115"/>
      <c r="M19" s="115"/>
      <c r="N19" s="114"/>
      <c r="O19" s="114"/>
      <c r="P19" s="114"/>
    </row>
    <row r="20" spans="1:16" ht="15" thickBot="1" x14ac:dyDescent="0.35">
      <c r="A20" s="95"/>
      <c r="B20" s="98"/>
      <c r="C20" s="96"/>
    </row>
    <row r="22" spans="1:16" ht="15" thickBot="1" x14ac:dyDescent="0.35">
      <c r="A22" t="s">
        <v>31</v>
      </c>
    </row>
    <row r="23" spans="1:16" x14ac:dyDescent="0.3">
      <c r="A23" s="471" t="s">
        <v>32</v>
      </c>
      <c r="B23" s="473" t="s">
        <v>33</v>
      </c>
      <c r="C23" s="474"/>
      <c r="D23" s="474"/>
      <c r="E23" s="474"/>
      <c r="F23" s="474"/>
      <c r="G23" s="474"/>
      <c r="H23" s="474"/>
      <c r="I23" s="474"/>
      <c r="J23" s="474"/>
      <c r="K23" s="474"/>
      <c r="L23" s="474"/>
      <c r="M23" s="475"/>
    </row>
    <row r="24" spans="1:16" ht="15" thickBot="1" x14ac:dyDescent="0.35">
      <c r="A24" s="472"/>
      <c r="B24" s="42" t="s">
        <v>34</v>
      </c>
      <c r="C24" s="43" t="s">
        <v>35</v>
      </c>
      <c r="D24" s="43" t="s">
        <v>36</v>
      </c>
      <c r="E24" s="43" t="s">
        <v>37</v>
      </c>
      <c r="F24" s="43" t="s">
        <v>38</v>
      </c>
      <c r="G24" s="43" t="s">
        <v>39</v>
      </c>
      <c r="H24" s="43" t="s">
        <v>40</v>
      </c>
      <c r="I24" s="43" t="s">
        <v>41</v>
      </c>
      <c r="J24" s="43" t="s">
        <v>42</v>
      </c>
      <c r="K24" s="43" t="s">
        <v>43</v>
      </c>
      <c r="L24" s="43" t="s">
        <v>44</v>
      </c>
      <c r="M24" s="48" t="s">
        <v>45</v>
      </c>
    </row>
    <row r="25" spans="1:16" x14ac:dyDescent="0.3">
      <c r="A25" s="49" t="s">
        <v>46</v>
      </c>
      <c r="B25" s="99">
        <v>20</v>
      </c>
      <c r="C25" s="99">
        <v>20</v>
      </c>
      <c r="D25" s="99">
        <v>22</v>
      </c>
      <c r="E25" s="99">
        <v>21</v>
      </c>
      <c r="F25" s="99">
        <v>22</v>
      </c>
      <c r="G25" s="99">
        <v>21</v>
      </c>
      <c r="H25" s="99">
        <v>22</v>
      </c>
      <c r="I25" s="99">
        <v>22</v>
      </c>
      <c r="J25" s="99">
        <v>21</v>
      </c>
      <c r="K25" s="99">
        <v>21</v>
      </c>
      <c r="L25" s="99">
        <v>20</v>
      </c>
      <c r="M25" s="100">
        <v>20</v>
      </c>
      <c r="O25" s="89" t="s">
        <v>413</v>
      </c>
    </row>
    <row r="27" spans="1:16" ht="15" thickBot="1" x14ac:dyDescent="0.35">
      <c r="A27" t="s">
        <v>47</v>
      </c>
    </row>
    <row r="28" spans="1:16" x14ac:dyDescent="0.3">
      <c r="A28" s="471" t="s">
        <v>32</v>
      </c>
      <c r="B28" s="473" t="s">
        <v>33</v>
      </c>
      <c r="C28" s="474"/>
      <c r="D28" s="474"/>
      <c r="E28" s="474"/>
      <c r="F28" s="474"/>
      <c r="G28" s="474"/>
      <c r="H28" s="474"/>
      <c r="I28" s="474"/>
      <c r="J28" s="474"/>
      <c r="K28" s="474"/>
      <c r="L28" s="474"/>
      <c r="M28" s="475"/>
    </row>
    <row r="29" spans="1:16" x14ac:dyDescent="0.3">
      <c r="A29" s="476"/>
      <c r="B29" s="45" t="s">
        <v>34</v>
      </c>
      <c r="C29" s="46" t="s">
        <v>35</v>
      </c>
      <c r="D29" s="46" t="s">
        <v>36</v>
      </c>
      <c r="E29" s="46" t="s">
        <v>37</v>
      </c>
      <c r="F29" s="46" t="s">
        <v>38</v>
      </c>
      <c r="G29" s="46" t="s">
        <v>39</v>
      </c>
      <c r="H29" s="46" t="s">
        <v>40</v>
      </c>
      <c r="I29" s="46" t="s">
        <v>41</v>
      </c>
      <c r="J29" s="46" t="s">
        <v>42</v>
      </c>
      <c r="K29" s="46" t="s">
        <v>43</v>
      </c>
      <c r="L29" s="46" t="s">
        <v>44</v>
      </c>
      <c r="M29" s="60" t="s">
        <v>45</v>
      </c>
    </row>
    <row r="30" spans="1:16" x14ac:dyDescent="0.3">
      <c r="A30" s="47" t="s">
        <v>48</v>
      </c>
      <c r="B30" s="90">
        <v>9</v>
      </c>
      <c r="C30" s="90">
        <v>10</v>
      </c>
      <c r="D30" s="90">
        <v>13</v>
      </c>
      <c r="E30" s="90">
        <v>14</v>
      </c>
      <c r="F30" s="90">
        <v>15</v>
      </c>
      <c r="G30" s="90">
        <v>16</v>
      </c>
      <c r="H30" s="90">
        <v>16</v>
      </c>
      <c r="I30" s="90">
        <v>15</v>
      </c>
      <c r="J30" s="90">
        <v>14</v>
      </c>
      <c r="K30" s="90">
        <v>12</v>
      </c>
      <c r="L30" s="90">
        <v>10</v>
      </c>
      <c r="M30" s="90">
        <v>9</v>
      </c>
      <c r="O30" s="89" t="s">
        <v>414</v>
      </c>
    </row>
    <row r="31" spans="1:16" x14ac:dyDescent="0.3">
      <c r="A31" s="31" t="s">
        <v>48</v>
      </c>
      <c r="B31" s="90">
        <v>10</v>
      </c>
      <c r="C31" s="90">
        <v>11</v>
      </c>
      <c r="D31" s="90">
        <v>14</v>
      </c>
      <c r="E31" s="90">
        <v>15</v>
      </c>
      <c r="F31" s="90">
        <v>16</v>
      </c>
      <c r="G31" s="90">
        <v>16</v>
      </c>
      <c r="H31" s="90">
        <v>16</v>
      </c>
      <c r="I31" s="90">
        <v>16</v>
      </c>
      <c r="J31" s="90">
        <v>15</v>
      </c>
      <c r="K31" s="90">
        <v>12</v>
      </c>
      <c r="L31" s="90">
        <v>12</v>
      </c>
      <c r="M31" s="90">
        <v>10</v>
      </c>
    </row>
    <row r="32" spans="1:16" x14ac:dyDescent="0.3">
      <c r="A32" s="31" t="s">
        <v>48</v>
      </c>
      <c r="B32" s="90">
        <v>10</v>
      </c>
      <c r="C32" s="90">
        <v>12</v>
      </c>
      <c r="D32" s="90">
        <v>14</v>
      </c>
      <c r="E32" s="90">
        <v>15</v>
      </c>
      <c r="F32" s="90">
        <v>16</v>
      </c>
      <c r="G32" s="90">
        <v>17</v>
      </c>
      <c r="H32" s="90">
        <v>17</v>
      </c>
      <c r="I32" s="90">
        <v>17</v>
      </c>
      <c r="J32" s="90">
        <v>16</v>
      </c>
      <c r="K32" s="90">
        <v>15</v>
      </c>
      <c r="L32" s="90">
        <v>12</v>
      </c>
      <c r="M32" s="90">
        <v>10</v>
      </c>
    </row>
    <row r="34" spans="1:15" ht="15" thickBot="1" x14ac:dyDescent="0.35">
      <c r="A34" t="s">
        <v>49</v>
      </c>
    </row>
    <row r="35" spans="1:15" x14ac:dyDescent="0.3">
      <c r="A35" s="471" t="s">
        <v>32</v>
      </c>
      <c r="B35" s="473" t="s">
        <v>33</v>
      </c>
      <c r="C35" s="474"/>
      <c r="D35" s="474"/>
      <c r="E35" s="474"/>
      <c r="F35" s="474"/>
      <c r="G35" s="474"/>
      <c r="H35" s="474"/>
      <c r="I35" s="474"/>
      <c r="J35" s="474"/>
      <c r="K35" s="474"/>
      <c r="L35" s="474"/>
      <c r="M35" s="475"/>
    </row>
    <row r="36" spans="1:15" ht="15" thickBot="1" x14ac:dyDescent="0.35">
      <c r="A36" s="472"/>
      <c r="B36" s="42" t="s">
        <v>34</v>
      </c>
      <c r="C36" s="43" t="s">
        <v>35</v>
      </c>
      <c r="D36" s="43" t="s">
        <v>36</v>
      </c>
      <c r="E36" s="43" t="s">
        <v>37</v>
      </c>
      <c r="F36" s="43" t="s">
        <v>38</v>
      </c>
      <c r="G36" s="43" t="s">
        <v>39</v>
      </c>
      <c r="H36" s="43" t="s">
        <v>40</v>
      </c>
      <c r="I36" s="43" t="s">
        <v>41</v>
      </c>
      <c r="J36" s="43" t="s">
        <v>42</v>
      </c>
      <c r="K36" s="43" t="s">
        <v>43</v>
      </c>
      <c r="L36" s="43" t="s">
        <v>44</v>
      </c>
      <c r="M36" s="48" t="s">
        <v>45</v>
      </c>
    </row>
    <row r="37" spans="1:15" x14ac:dyDescent="0.3">
      <c r="A37" s="49" t="s">
        <v>25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1"/>
    </row>
    <row r="38" spans="1:15" x14ac:dyDescent="0.3">
      <c r="A38" s="52">
        <v>2023</v>
      </c>
      <c r="B38" s="90">
        <v>52</v>
      </c>
      <c r="C38" s="90">
        <v>52</v>
      </c>
      <c r="D38" s="90">
        <v>50</v>
      </c>
      <c r="E38" s="90">
        <v>51</v>
      </c>
      <c r="F38" s="90">
        <v>52</v>
      </c>
      <c r="G38" s="90">
        <v>53</v>
      </c>
      <c r="H38" s="90">
        <v>54</v>
      </c>
      <c r="I38" s="90">
        <v>54</v>
      </c>
      <c r="J38" s="90">
        <v>56</v>
      </c>
      <c r="K38" s="90">
        <v>55</v>
      </c>
      <c r="L38" s="90">
        <v>55</v>
      </c>
      <c r="M38" s="94">
        <v>54</v>
      </c>
      <c r="O38" s="89" t="s">
        <v>50</v>
      </c>
    </row>
    <row r="39" spans="1:15" x14ac:dyDescent="0.3">
      <c r="A39" s="52">
        <v>2024</v>
      </c>
      <c r="B39" s="90">
        <v>54</v>
      </c>
      <c r="C39" s="90">
        <v>55</v>
      </c>
      <c r="D39" s="90">
        <v>55</v>
      </c>
      <c r="E39" s="90">
        <v>55</v>
      </c>
      <c r="F39" s="90">
        <v>56</v>
      </c>
      <c r="G39" s="90">
        <v>56</v>
      </c>
      <c r="H39" s="90">
        <v>56</v>
      </c>
      <c r="I39" s="90">
        <v>56</v>
      </c>
      <c r="J39" s="90">
        <v>56</v>
      </c>
      <c r="K39" s="90">
        <v>56</v>
      </c>
      <c r="L39" s="90">
        <v>56</v>
      </c>
      <c r="M39" s="94">
        <v>56</v>
      </c>
    </row>
    <row r="40" spans="1:15" ht="15" thickBot="1" x14ac:dyDescent="0.35">
      <c r="A40" s="53">
        <v>2025</v>
      </c>
      <c r="B40" s="98">
        <v>57</v>
      </c>
      <c r="C40" s="98">
        <v>57</v>
      </c>
      <c r="D40" s="98">
        <v>57</v>
      </c>
      <c r="E40" s="98">
        <v>57</v>
      </c>
      <c r="F40" s="98">
        <v>57</v>
      </c>
      <c r="G40" s="98">
        <v>57</v>
      </c>
      <c r="H40" s="98">
        <v>57</v>
      </c>
      <c r="I40" s="98">
        <v>57</v>
      </c>
      <c r="J40" s="98">
        <v>57</v>
      </c>
      <c r="K40" s="98">
        <v>57</v>
      </c>
      <c r="L40" s="98">
        <v>57</v>
      </c>
      <c r="M40" s="96">
        <v>57</v>
      </c>
    </row>
    <row r="41" spans="1:15" x14ac:dyDescent="0.3">
      <c r="A41" s="49" t="s">
        <v>51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1"/>
    </row>
    <row r="42" spans="1:15" x14ac:dyDescent="0.3">
      <c r="A42" s="52">
        <v>2023</v>
      </c>
      <c r="B42" s="90">
        <v>54</v>
      </c>
      <c r="C42" s="90">
        <v>54</v>
      </c>
      <c r="D42" s="90">
        <v>54</v>
      </c>
      <c r="E42" s="90">
        <v>54</v>
      </c>
      <c r="F42" s="90">
        <v>54</v>
      </c>
      <c r="G42" s="90">
        <v>54</v>
      </c>
      <c r="H42" s="90">
        <v>54</v>
      </c>
      <c r="I42" s="90">
        <v>54</v>
      </c>
      <c r="J42" s="90">
        <v>54</v>
      </c>
      <c r="K42" s="90">
        <v>54</v>
      </c>
      <c r="L42" s="90">
        <v>54</v>
      </c>
      <c r="M42" s="94">
        <v>54</v>
      </c>
    </row>
    <row r="43" spans="1:15" x14ac:dyDescent="0.3">
      <c r="A43" s="52">
        <v>2024</v>
      </c>
      <c r="B43" s="90">
        <v>55</v>
      </c>
      <c r="C43" s="90">
        <v>55</v>
      </c>
      <c r="D43" s="90">
        <v>55</v>
      </c>
      <c r="E43" s="90">
        <v>55</v>
      </c>
      <c r="F43" s="90">
        <v>55</v>
      </c>
      <c r="G43" s="90">
        <v>55</v>
      </c>
      <c r="H43" s="90">
        <v>55</v>
      </c>
      <c r="I43" s="90">
        <v>55</v>
      </c>
      <c r="J43" s="90">
        <v>55</v>
      </c>
      <c r="K43" s="90">
        <v>55</v>
      </c>
      <c r="L43" s="90">
        <v>55</v>
      </c>
      <c r="M43" s="94">
        <v>55</v>
      </c>
    </row>
    <row r="44" spans="1:15" ht="15" thickBot="1" x14ac:dyDescent="0.35">
      <c r="A44" s="53">
        <v>2025</v>
      </c>
      <c r="B44" s="98">
        <v>56</v>
      </c>
      <c r="C44" s="98">
        <v>56</v>
      </c>
      <c r="D44" s="98">
        <v>56</v>
      </c>
      <c r="E44" s="98">
        <v>56</v>
      </c>
      <c r="F44" s="98">
        <v>56</v>
      </c>
      <c r="G44" s="98">
        <v>56</v>
      </c>
      <c r="H44" s="98">
        <v>56</v>
      </c>
      <c r="I44" s="98">
        <v>56</v>
      </c>
      <c r="J44" s="98">
        <v>56</v>
      </c>
      <c r="K44" s="98">
        <v>56</v>
      </c>
      <c r="L44" s="98">
        <v>56</v>
      </c>
      <c r="M44" s="96">
        <v>56</v>
      </c>
    </row>
    <row r="45" spans="1:15" x14ac:dyDescent="0.3">
      <c r="A45" s="49" t="s">
        <v>30</v>
      </c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1"/>
    </row>
    <row r="46" spans="1:15" x14ac:dyDescent="0.3">
      <c r="A46" s="52">
        <v>2023</v>
      </c>
      <c r="B46" s="90">
        <v>29</v>
      </c>
      <c r="C46" s="90">
        <v>29</v>
      </c>
      <c r="D46" s="90">
        <v>29</v>
      </c>
      <c r="E46" s="90">
        <v>29</v>
      </c>
      <c r="F46" s="90">
        <v>29</v>
      </c>
      <c r="G46" s="90">
        <v>29</v>
      </c>
      <c r="H46" s="90">
        <v>29</v>
      </c>
      <c r="I46" s="90">
        <v>29</v>
      </c>
      <c r="J46" s="90">
        <v>29</v>
      </c>
      <c r="K46" s="90">
        <v>29</v>
      </c>
      <c r="L46" s="90">
        <v>29</v>
      </c>
      <c r="M46" s="94">
        <v>29</v>
      </c>
    </row>
    <row r="47" spans="1:15" x14ac:dyDescent="0.3">
      <c r="A47" s="52">
        <v>2024</v>
      </c>
      <c r="B47" s="90">
        <v>30</v>
      </c>
      <c r="C47" s="90">
        <v>30</v>
      </c>
      <c r="D47" s="90">
        <v>30</v>
      </c>
      <c r="E47" s="90">
        <v>30</v>
      </c>
      <c r="F47" s="90">
        <v>30</v>
      </c>
      <c r="G47" s="90">
        <v>30</v>
      </c>
      <c r="H47" s="90">
        <v>30</v>
      </c>
      <c r="I47" s="90">
        <v>30</v>
      </c>
      <c r="J47" s="90">
        <v>30</v>
      </c>
      <c r="K47" s="90">
        <v>30</v>
      </c>
      <c r="L47" s="90">
        <v>30</v>
      </c>
      <c r="M47" s="94">
        <v>30</v>
      </c>
    </row>
    <row r="48" spans="1:15" ht="15" thickBot="1" x14ac:dyDescent="0.35">
      <c r="A48" s="53">
        <v>2025</v>
      </c>
      <c r="B48" s="98">
        <v>31</v>
      </c>
      <c r="C48" s="98">
        <v>31</v>
      </c>
      <c r="D48" s="98">
        <v>31</v>
      </c>
      <c r="E48" s="98">
        <v>31</v>
      </c>
      <c r="F48" s="98">
        <v>31</v>
      </c>
      <c r="G48" s="98">
        <v>31</v>
      </c>
      <c r="H48" s="98">
        <v>31</v>
      </c>
      <c r="I48" s="98">
        <v>31</v>
      </c>
      <c r="J48" s="98">
        <v>31</v>
      </c>
      <c r="K48" s="98">
        <v>31</v>
      </c>
      <c r="L48" s="98">
        <v>31</v>
      </c>
      <c r="M48" s="96">
        <v>31</v>
      </c>
    </row>
    <row r="51" spans="1:15" ht="15" thickBot="1" x14ac:dyDescent="0.35">
      <c r="A51" t="s">
        <v>387</v>
      </c>
    </row>
    <row r="52" spans="1:15" x14ac:dyDescent="0.3">
      <c r="A52" s="456" t="s">
        <v>52</v>
      </c>
      <c r="B52" s="458" t="s">
        <v>33</v>
      </c>
      <c r="C52" s="459"/>
      <c r="D52" s="459"/>
      <c r="E52" s="459"/>
      <c r="F52" s="459"/>
      <c r="G52" s="459"/>
      <c r="H52" s="459"/>
      <c r="I52" s="459"/>
      <c r="J52" s="459"/>
      <c r="K52" s="459"/>
      <c r="L52" s="459"/>
      <c r="M52" s="460"/>
    </row>
    <row r="53" spans="1:15" ht="15" thickBot="1" x14ac:dyDescent="0.35">
      <c r="A53" s="457"/>
      <c r="B53" s="42" t="s">
        <v>34</v>
      </c>
      <c r="C53" s="43" t="s">
        <v>35</v>
      </c>
      <c r="D53" s="43" t="s">
        <v>36</v>
      </c>
      <c r="E53" s="43" t="s">
        <v>37</v>
      </c>
      <c r="F53" s="43" t="s">
        <v>38</v>
      </c>
      <c r="G53" s="43" t="s">
        <v>39</v>
      </c>
      <c r="H53" s="43" t="s">
        <v>40</v>
      </c>
      <c r="I53" s="43" t="s">
        <v>41</v>
      </c>
      <c r="J53" s="43" t="s">
        <v>42</v>
      </c>
      <c r="K53" s="43" t="s">
        <v>43</v>
      </c>
      <c r="L53" s="43" t="s">
        <v>44</v>
      </c>
      <c r="M53" s="48" t="s">
        <v>45</v>
      </c>
    </row>
    <row r="54" spans="1:15" x14ac:dyDescent="0.3">
      <c r="A54" s="97" t="s">
        <v>53</v>
      </c>
      <c r="B54" s="101">
        <v>10</v>
      </c>
      <c r="C54" s="101">
        <v>10</v>
      </c>
      <c r="D54" s="101">
        <v>10</v>
      </c>
      <c r="E54" s="101">
        <v>10</v>
      </c>
      <c r="F54" s="101">
        <v>10</v>
      </c>
      <c r="G54" s="101">
        <v>10</v>
      </c>
      <c r="H54" s="101">
        <v>10</v>
      </c>
      <c r="I54" s="101">
        <v>10</v>
      </c>
      <c r="J54" s="101">
        <v>10</v>
      </c>
      <c r="K54" s="101">
        <v>10</v>
      </c>
      <c r="L54" s="101">
        <v>10</v>
      </c>
      <c r="M54" s="101">
        <v>10</v>
      </c>
    </row>
    <row r="55" spans="1:15" x14ac:dyDescent="0.3">
      <c r="A55" s="90" t="s">
        <v>54</v>
      </c>
      <c r="B55" s="101">
        <v>20</v>
      </c>
      <c r="C55" s="101">
        <v>20</v>
      </c>
      <c r="D55" s="101">
        <v>20</v>
      </c>
      <c r="E55" s="101">
        <v>20</v>
      </c>
      <c r="F55" s="101">
        <v>20</v>
      </c>
      <c r="G55" s="101">
        <v>20</v>
      </c>
      <c r="H55" s="101">
        <v>20</v>
      </c>
      <c r="I55" s="101">
        <v>20</v>
      </c>
      <c r="J55" s="101">
        <v>20</v>
      </c>
      <c r="K55" s="101">
        <v>20</v>
      </c>
      <c r="L55" s="101">
        <v>20</v>
      </c>
      <c r="M55" s="101">
        <v>20</v>
      </c>
    </row>
    <row r="56" spans="1:15" x14ac:dyDescent="0.3">
      <c r="A56" s="90" t="s">
        <v>55</v>
      </c>
      <c r="B56" s="101">
        <v>30</v>
      </c>
      <c r="C56" s="101">
        <v>30</v>
      </c>
      <c r="D56" s="101">
        <v>30</v>
      </c>
      <c r="E56" s="101">
        <v>30</v>
      </c>
      <c r="F56" s="101">
        <v>30</v>
      </c>
      <c r="G56" s="101">
        <v>30</v>
      </c>
      <c r="H56" s="101">
        <v>30</v>
      </c>
      <c r="I56" s="101">
        <v>30</v>
      </c>
      <c r="J56" s="101">
        <v>30</v>
      </c>
      <c r="K56" s="101">
        <v>30</v>
      </c>
      <c r="L56" s="101">
        <v>30</v>
      </c>
      <c r="M56" s="101">
        <v>30</v>
      </c>
    </row>
    <row r="57" spans="1:15" x14ac:dyDescent="0.3">
      <c r="A57" s="90" t="s">
        <v>56</v>
      </c>
      <c r="B57" s="101">
        <v>10</v>
      </c>
      <c r="C57" s="101">
        <v>10</v>
      </c>
      <c r="D57" s="101">
        <v>10</v>
      </c>
      <c r="E57" s="101">
        <v>10</v>
      </c>
      <c r="F57" s="101">
        <v>10</v>
      </c>
      <c r="G57" s="101">
        <v>10</v>
      </c>
      <c r="H57" s="101">
        <v>10</v>
      </c>
      <c r="I57" s="101">
        <v>10</v>
      </c>
      <c r="J57" s="101">
        <v>10</v>
      </c>
      <c r="K57" s="101">
        <v>10</v>
      </c>
      <c r="L57" s="101">
        <v>10</v>
      </c>
      <c r="M57" s="101">
        <v>10</v>
      </c>
    </row>
    <row r="58" spans="1:15" x14ac:dyDescent="0.3">
      <c r="A58" s="90" t="s">
        <v>57</v>
      </c>
      <c r="B58" s="101">
        <v>30</v>
      </c>
      <c r="C58" s="101">
        <v>30</v>
      </c>
      <c r="D58" s="101">
        <v>30</v>
      </c>
      <c r="E58" s="101">
        <v>30</v>
      </c>
      <c r="F58" s="101">
        <v>30</v>
      </c>
      <c r="G58" s="101">
        <v>30</v>
      </c>
      <c r="H58" s="101">
        <v>30</v>
      </c>
      <c r="I58" s="101">
        <v>30</v>
      </c>
      <c r="J58" s="101">
        <v>30</v>
      </c>
      <c r="K58" s="101">
        <v>30</v>
      </c>
      <c r="L58" s="101">
        <v>30</v>
      </c>
      <c r="M58" s="101">
        <v>30</v>
      </c>
    </row>
    <row r="59" spans="1:15" x14ac:dyDescent="0.3">
      <c r="A59" s="90" t="s">
        <v>58</v>
      </c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</row>
    <row r="60" spans="1:15" x14ac:dyDescent="0.3">
      <c r="A60" s="90" t="s">
        <v>59</v>
      </c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</row>
    <row r="61" spans="1:15" x14ac:dyDescent="0.3">
      <c r="A61" s="90" t="s">
        <v>60</v>
      </c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</row>
    <row r="62" spans="1:15" x14ac:dyDescent="0.3">
      <c r="A62" s="90" t="s">
        <v>61</v>
      </c>
      <c r="B62" s="101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</row>
    <row r="63" spans="1:15" x14ac:dyDescent="0.3">
      <c r="A63" s="90" t="s">
        <v>62</v>
      </c>
      <c r="B63" s="101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</row>
    <row r="64" spans="1:15" x14ac:dyDescent="0.3">
      <c r="A64" s="32" t="s">
        <v>63</v>
      </c>
      <c r="B64">
        <f>SUM(B54:B63)</f>
        <v>100</v>
      </c>
      <c r="C64">
        <f t="shared" ref="C64:M64" si="0">SUM(C54:C63)</f>
        <v>100</v>
      </c>
      <c r="D64">
        <f t="shared" si="0"/>
        <v>100</v>
      </c>
      <c r="E64">
        <f t="shared" si="0"/>
        <v>100</v>
      </c>
      <c r="F64">
        <f t="shared" si="0"/>
        <v>100</v>
      </c>
      <c r="G64">
        <f t="shared" si="0"/>
        <v>100</v>
      </c>
      <c r="H64">
        <f t="shared" si="0"/>
        <v>100</v>
      </c>
      <c r="I64">
        <f t="shared" si="0"/>
        <v>100</v>
      </c>
      <c r="J64">
        <f t="shared" si="0"/>
        <v>100</v>
      </c>
      <c r="K64">
        <f t="shared" si="0"/>
        <v>100</v>
      </c>
      <c r="L64">
        <f t="shared" si="0"/>
        <v>100</v>
      </c>
      <c r="M64">
        <f t="shared" si="0"/>
        <v>100</v>
      </c>
      <c r="O64" s="89" t="s">
        <v>64</v>
      </c>
    </row>
    <row r="65" spans="1:13" ht="15" thickBot="1" x14ac:dyDescent="0.35"/>
    <row r="66" spans="1:13" s="61" customFormat="1" ht="43.2" customHeight="1" x14ac:dyDescent="0.3">
      <c r="A66" s="461" t="s">
        <v>52</v>
      </c>
      <c r="B66" s="478" t="s">
        <v>65</v>
      </c>
      <c r="C66" s="466" t="s">
        <v>66</v>
      </c>
      <c r="D66" s="467"/>
      <c r="E66" s="466" t="s">
        <v>67</v>
      </c>
      <c r="F66" s="467"/>
      <c r="G66" s="466" t="s">
        <v>68</v>
      </c>
      <c r="H66" s="467"/>
      <c r="I66" s="466" t="s">
        <v>69</v>
      </c>
      <c r="J66" s="467"/>
      <c r="K66" s="466" t="s">
        <v>70</v>
      </c>
      <c r="L66" s="467"/>
    </row>
    <row r="67" spans="1:13" s="61" customFormat="1" ht="85.95" customHeight="1" thickBot="1" x14ac:dyDescent="0.35">
      <c r="A67" s="477"/>
      <c r="B67" s="479"/>
      <c r="C67" s="62" t="s">
        <v>71</v>
      </c>
      <c r="D67" s="62" t="s">
        <v>72</v>
      </c>
      <c r="E67" s="62" t="s">
        <v>73</v>
      </c>
      <c r="F67" s="62" t="s">
        <v>74</v>
      </c>
      <c r="G67" s="62" t="s">
        <v>75</v>
      </c>
      <c r="H67" s="62" t="s">
        <v>76</v>
      </c>
      <c r="I67" s="62" t="s">
        <v>77</v>
      </c>
      <c r="J67" s="62" t="s">
        <v>78</v>
      </c>
      <c r="K67" s="62" t="s">
        <v>79</v>
      </c>
      <c r="L67" s="56" t="s">
        <v>80</v>
      </c>
    </row>
    <row r="68" spans="1:13" x14ac:dyDescent="0.3">
      <c r="A68" s="47" t="str">
        <f>A54</f>
        <v>Молоко питне</v>
      </c>
      <c r="B68" s="90">
        <v>1</v>
      </c>
      <c r="C68" s="90"/>
      <c r="D68" s="90"/>
      <c r="E68" s="90"/>
      <c r="F68" s="90"/>
      <c r="G68" s="90"/>
      <c r="H68" s="90"/>
      <c r="I68" s="90">
        <v>1</v>
      </c>
      <c r="J68" s="102">
        <v>10</v>
      </c>
      <c r="K68" s="90">
        <v>1</v>
      </c>
      <c r="L68" s="102">
        <v>1</v>
      </c>
    </row>
    <row r="69" spans="1:13" x14ac:dyDescent="0.3">
      <c r="A69" s="47" t="str">
        <f t="shared" ref="A69:A77" si="1">A55</f>
        <v>Сир кисломолочний</v>
      </c>
      <c r="B69" s="90">
        <v>6</v>
      </c>
      <c r="C69" s="90">
        <v>1</v>
      </c>
      <c r="D69" s="102">
        <v>100</v>
      </c>
      <c r="E69" s="90">
        <v>5</v>
      </c>
      <c r="F69" s="102">
        <v>2</v>
      </c>
      <c r="G69" s="90"/>
      <c r="H69" s="90"/>
      <c r="I69" s="90">
        <v>1</v>
      </c>
      <c r="J69" s="102">
        <v>10</v>
      </c>
      <c r="K69" s="90">
        <v>2.5</v>
      </c>
      <c r="L69" s="102">
        <v>6</v>
      </c>
    </row>
    <row r="70" spans="1:13" x14ac:dyDescent="0.3">
      <c r="A70" s="47" t="str">
        <f t="shared" si="1"/>
        <v>Кефір</v>
      </c>
      <c r="B70" s="90">
        <v>1.03</v>
      </c>
      <c r="C70" s="90">
        <v>1</v>
      </c>
      <c r="D70" s="102">
        <v>50</v>
      </c>
      <c r="E70" s="90"/>
      <c r="F70" s="102"/>
      <c r="G70" s="90"/>
      <c r="H70" s="90"/>
      <c r="I70" s="90">
        <v>1</v>
      </c>
      <c r="J70" s="102">
        <v>10</v>
      </c>
      <c r="K70" s="90">
        <v>2</v>
      </c>
      <c r="L70" s="102">
        <v>1</v>
      </c>
    </row>
    <row r="71" spans="1:13" x14ac:dyDescent="0.3">
      <c r="A71" s="47" t="str">
        <f t="shared" si="1"/>
        <v>Сметана</v>
      </c>
      <c r="B71" s="90">
        <v>7</v>
      </c>
      <c r="C71" s="90">
        <v>1</v>
      </c>
      <c r="D71" s="102">
        <v>100</v>
      </c>
      <c r="E71" s="90"/>
      <c r="F71" s="102"/>
      <c r="G71" s="90"/>
      <c r="H71" s="90"/>
      <c r="I71" s="90">
        <v>1</v>
      </c>
      <c r="J71" s="102">
        <v>10</v>
      </c>
      <c r="K71" s="90">
        <v>2.5</v>
      </c>
      <c r="L71" s="102">
        <v>1</v>
      </c>
    </row>
    <row r="72" spans="1:13" x14ac:dyDescent="0.3">
      <c r="A72" s="47" t="str">
        <f t="shared" si="1"/>
        <v>Сир м'який</v>
      </c>
      <c r="B72" s="90">
        <v>6</v>
      </c>
      <c r="C72" s="90">
        <v>1</v>
      </c>
      <c r="D72" s="102">
        <v>100</v>
      </c>
      <c r="E72" s="90">
        <v>5</v>
      </c>
      <c r="F72" s="102">
        <v>2</v>
      </c>
      <c r="G72" s="90"/>
      <c r="H72" s="90"/>
      <c r="I72" s="90">
        <v>1</v>
      </c>
      <c r="J72" s="102">
        <v>10</v>
      </c>
      <c r="K72" s="90">
        <v>4</v>
      </c>
      <c r="L72" s="102">
        <v>1.5</v>
      </c>
    </row>
    <row r="73" spans="1:13" x14ac:dyDescent="0.3">
      <c r="A73" s="47" t="str">
        <f t="shared" si="1"/>
        <v>Сир твердий</v>
      </c>
      <c r="B73" s="90"/>
      <c r="C73" s="90">
        <v>1</v>
      </c>
      <c r="D73" s="102">
        <v>100</v>
      </c>
      <c r="E73" s="90">
        <v>5</v>
      </c>
      <c r="F73" s="102">
        <v>2</v>
      </c>
      <c r="G73" s="90">
        <v>40</v>
      </c>
      <c r="H73" s="102">
        <v>1</v>
      </c>
      <c r="I73" s="90">
        <v>1</v>
      </c>
      <c r="J73" s="102">
        <v>10</v>
      </c>
      <c r="K73" s="90">
        <v>1</v>
      </c>
      <c r="L73" s="102">
        <v>8</v>
      </c>
    </row>
    <row r="74" spans="1:13" x14ac:dyDescent="0.3">
      <c r="A74" s="47" t="str">
        <f t="shared" si="1"/>
        <v>Масло вершкове</v>
      </c>
      <c r="B74" s="90"/>
      <c r="C74" s="90"/>
      <c r="D74" s="102"/>
      <c r="E74" s="90"/>
      <c r="F74" s="102"/>
      <c r="G74" s="90"/>
      <c r="H74" s="90"/>
      <c r="I74" s="90">
        <v>1</v>
      </c>
      <c r="J74" s="102">
        <v>10</v>
      </c>
      <c r="K74" s="90">
        <v>5</v>
      </c>
      <c r="L74" s="102">
        <v>1</v>
      </c>
    </row>
    <row r="75" spans="1:13" x14ac:dyDescent="0.3">
      <c r="A75" s="47" t="str">
        <f t="shared" si="1"/>
        <v>Сир Рікотта</v>
      </c>
      <c r="B75" s="90">
        <v>0.05</v>
      </c>
      <c r="C75" s="90">
        <v>1</v>
      </c>
      <c r="D75" s="102">
        <v>50</v>
      </c>
      <c r="E75" s="90"/>
      <c r="F75" s="102"/>
      <c r="G75" s="90"/>
      <c r="H75" s="90"/>
      <c r="I75" s="90">
        <v>1</v>
      </c>
      <c r="J75" s="102">
        <v>10</v>
      </c>
      <c r="K75" s="90">
        <v>5</v>
      </c>
      <c r="L75" s="102">
        <v>3</v>
      </c>
    </row>
    <row r="76" spans="1:13" x14ac:dyDescent="0.3">
      <c r="A76" s="47" t="str">
        <f t="shared" si="1"/>
        <v>Сироватка</v>
      </c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</row>
    <row r="77" spans="1:13" x14ac:dyDescent="0.3">
      <c r="A77" s="47" t="str">
        <f t="shared" si="1"/>
        <v>Молоко охолоджене</v>
      </c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</row>
    <row r="79" spans="1:13" ht="15" thickBot="1" x14ac:dyDescent="0.35">
      <c r="A79" t="s">
        <v>81</v>
      </c>
    </row>
    <row r="80" spans="1:13" x14ac:dyDescent="0.3">
      <c r="A80" s="456" t="s">
        <v>52</v>
      </c>
      <c r="B80" s="458" t="s">
        <v>33</v>
      </c>
      <c r="C80" s="459"/>
      <c r="D80" s="459"/>
      <c r="E80" s="459"/>
      <c r="F80" s="459"/>
      <c r="G80" s="459"/>
      <c r="H80" s="459"/>
      <c r="I80" s="459"/>
      <c r="J80" s="459"/>
      <c r="K80" s="459"/>
      <c r="L80" s="459"/>
      <c r="M80" s="460"/>
    </row>
    <row r="81" spans="1:15" ht="15" thickBot="1" x14ac:dyDescent="0.35">
      <c r="A81" s="457"/>
      <c r="B81" s="42" t="s">
        <v>34</v>
      </c>
      <c r="C81" s="43" t="s">
        <v>35</v>
      </c>
      <c r="D81" s="43" t="s">
        <v>36</v>
      </c>
      <c r="E81" s="43" t="s">
        <v>37</v>
      </c>
      <c r="F81" s="43" t="s">
        <v>38</v>
      </c>
      <c r="G81" s="43" t="s">
        <v>39</v>
      </c>
      <c r="H81" s="43" t="s">
        <v>40</v>
      </c>
      <c r="I81" s="43" t="s">
        <v>41</v>
      </c>
      <c r="J81" s="43" t="s">
        <v>42</v>
      </c>
      <c r="K81" s="43" t="s">
        <v>43</v>
      </c>
      <c r="L81" s="43" t="s">
        <v>44</v>
      </c>
      <c r="M81" s="48" t="s">
        <v>45</v>
      </c>
    </row>
    <row r="82" spans="1:15" x14ac:dyDescent="0.3">
      <c r="A82" s="97" t="s">
        <v>53</v>
      </c>
      <c r="B82" s="101">
        <v>24</v>
      </c>
      <c r="C82" s="101">
        <v>24</v>
      </c>
      <c r="D82" s="101">
        <v>24</v>
      </c>
      <c r="E82" s="101">
        <v>24</v>
      </c>
      <c r="F82" s="101">
        <v>24</v>
      </c>
      <c r="G82" s="101">
        <v>24</v>
      </c>
      <c r="H82" s="101">
        <v>24</v>
      </c>
      <c r="I82" s="101">
        <v>24</v>
      </c>
      <c r="J82" s="101">
        <v>24</v>
      </c>
      <c r="K82" s="101">
        <v>24</v>
      </c>
      <c r="L82" s="101">
        <v>24</v>
      </c>
      <c r="M82" s="101">
        <v>24</v>
      </c>
      <c r="O82" s="89" t="s">
        <v>415</v>
      </c>
    </row>
    <row r="83" spans="1:15" x14ac:dyDescent="0.3">
      <c r="A83" s="90" t="s">
        <v>54</v>
      </c>
      <c r="B83" s="101">
        <v>145</v>
      </c>
      <c r="C83" s="101">
        <v>145</v>
      </c>
      <c r="D83" s="101">
        <v>145</v>
      </c>
      <c r="E83" s="101">
        <v>145</v>
      </c>
      <c r="F83" s="101">
        <v>145</v>
      </c>
      <c r="G83" s="101">
        <v>145</v>
      </c>
      <c r="H83" s="101">
        <v>145</v>
      </c>
      <c r="I83" s="101">
        <v>145</v>
      </c>
      <c r="J83" s="101">
        <v>145</v>
      </c>
      <c r="K83" s="101">
        <v>145</v>
      </c>
      <c r="L83" s="101">
        <v>145</v>
      </c>
      <c r="M83" s="101">
        <v>145</v>
      </c>
    </row>
    <row r="84" spans="1:15" x14ac:dyDescent="0.3">
      <c r="A84" s="90" t="s">
        <v>55</v>
      </c>
      <c r="B84" s="101">
        <v>28</v>
      </c>
      <c r="C84" s="101">
        <v>28</v>
      </c>
      <c r="D84" s="101">
        <v>28</v>
      </c>
      <c r="E84" s="101">
        <v>28</v>
      </c>
      <c r="F84" s="101">
        <v>28</v>
      </c>
      <c r="G84" s="101">
        <v>28</v>
      </c>
      <c r="H84" s="101">
        <v>28</v>
      </c>
      <c r="I84" s="101">
        <v>28</v>
      </c>
      <c r="J84" s="101">
        <v>28</v>
      </c>
      <c r="K84" s="101">
        <v>28</v>
      </c>
      <c r="L84" s="101">
        <v>28</v>
      </c>
      <c r="M84" s="101">
        <v>28</v>
      </c>
    </row>
    <row r="85" spans="1:15" x14ac:dyDescent="0.3">
      <c r="A85" s="90" t="s">
        <v>56</v>
      </c>
      <c r="B85" s="101">
        <v>95</v>
      </c>
      <c r="C85" s="101">
        <v>95</v>
      </c>
      <c r="D85" s="101">
        <v>95</v>
      </c>
      <c r="E85" s="101">
        <v>95</v>
      </c>
      <c r="F85" s="101">
        <v>95</v>
      </c>
      <c r="G85" s="101">
        <v>95</v>
      </c>
      <c r="H85" s="101">
        <v>95</v>
      </c>
      <c r="I85" s="101">
        <v>95</v>
      </c>
      <c r="J85" s="101">
        <v>95</v>
      </c>
      <c r="K85" s="101">
        <v>95</v>
      </c>
      <c r="L85" s="101">
        <v>95</v>
      </c>
      <c r="M85" s="101">
        <v>95</v>
      </c>
    </row>
    <row r="86" spans="1:15" x14ac:dyDescent="0.3">
      <c r="A86" s="90" t="s">
        <v>57</v>
      </c>
      <c r="B86" s="101">
        <v>160</v>
      </c>
      <c r="C86" s="101">
        <v>160</v>
      </c>
      <c r="D86" s="101">
        <v>160</v>
      </c>
      <c r="E86" s="101">
        <v>160</v>
      </c>
      <c r="F86" s="101">
        <v>160</v>
      </c>
      <c r="G86" s="101">
        <v>160</v>
      </c>
      <c r="H86" s="101">
        <v>160</v>
      </c>
      <c r="I86" s="101">
        <v>160</v>
      </c>
      <c r="J86" s="101">
        <v>160</v>
      </c>
      <c r="K86" s="101">
        <v>160</v>
      </c>
      <c r="L86" s="101">
        <v>160</v>
      </c>
      <c r="M86" s="101">
        <v>160</v>
      </c>
    </row>
    <row r="87" spans="1:15" x14ac:dyDescent="0.3">
      <c r="A87" s="90" t="s">
        <v>58</v>
      </c>
      <c r="B87" s="101"/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101"/>
    </row>
    <row r="88" spans="1:15" x14ac:dyDescent="0.3">
      <c r="A88" s="90" t="s">
        <v>59</v>
      </c>
      <c r="B88" s="101"/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101"/>
    </row>
    <row r="89" spans="1:15" x14ac:dyDescent="0.3">
      <c r="A89" s="90" t="s">
        <v>60</v>
      </c>
      <c r="B89" s="101">
        <v>200</v>
      </c>
      <c r="C89" s="101">
        <v>200</v>
      </c>
      <c r="D89" s="101">
        <v>200</v>
      </c>
      <c r="E89" s="101">
        <v>200</v>
      </c>
      <c r="F89" s="101">
        <v>200</v>
      </c>
      <c r="G89" s="101">
        <v>200</v>
      </c>
      <c r="H89" s="101">
        <v>200</v>
      </c>
      <c r="I89" s="101">
        <v>200</v>
      </c>
      <c r="J89" s="101">
        <v>200</v>
      </c>
      <c r="K89" s="101">
        <v>200</v>
      </c>
      <c r="L89" s="101">
        <v>200</v>
      </c>
      <c r="M89" s="101">
        <v>200</v>
      </c>
    </row>
    <row r="90" spans="1:15" x14ac:dyDescent="0.3">
      <c r="A90" s="90" t="s">
        <v>61</v>
      </c>
      <c r="B90" s="101">
        <v>5</v>
      </c>
      <c r="C90" s="101">
        <v>5</v>
      </c>
      <c r="D90" s="101">
        <v>5</v>
      </c>
      <c r="E90" s="101">
        <v>5</v>
      </c>
      <c r="F90" s="101">
        <v>5</v>
      </c>
      <c r="G90" s="101">
        <v>5</v>
      </c>
      <c r="H90" s="101">
        <v>5</v>
      </c>
      <c r="I90" s="101">
        <v>5</v>
      </c>
      <c r="J90" s="101">
        <v>5</v>
      </c>
      <c r="K90" s="101">
        <v>5</v>
      </c>
      <c r="L90" s="101">
        <v>5</v>
      </c>
      <c r="M90" s="101">
        <v>5</v>
      </c>
    </row>
    <row r="91" spans="1:15" x14ac:dyDescent="0.3">
      <c r="A91" s="90" t="s">
        <v>62</v>
      </c>
      <c r="B91" s="101">
        <v>12</v>
      </c>
      <c r="C91" s="101">
        <v>12</v>
      </c>
      <c r="D91" s="101">
        <v>12</v>
      </c>
      <c r="E91" s="101">
        <v>12</v>
      </c>
      <c r="F91" s="101">
        <v>12</v>
      </c>
      <c r="G91" s="101">
        <v>12</v>
      </c>
      <c r="H91" s="101">
        <v>12</v>
      </c>
      <c r="I91" s="101">
        <v>12</v>
      </c>
      <c r="J91" s="101">
        <v>12</v>
      </c>
      <c r="K91" s="101">
        <v>12</v>
      </c>
      <c r="L91" s="101">
        <v>12</v>
      </c>
      <c r="M91" s="101">
        <v>12</v>
      </c>
    </row>
    <row r="93" spans="1:15" x14ac:dyDescent="0.3">
      <c r="A93" t="s">
        <v>82</v>
      </c>
    </row>
    <row r="94" spans="1:15" x14ac:dyDescent="0.3">
      <c r="A94" s="468" t="s">
        <v>83</v>
      </c>
      <c r="B94" s="469" t="s">
        <v>48</v>
      </c>
      <c r="C94" s="469"/>
      <c r="D94" s="469" t="s">
        <v>48</v>
      </c>
      <c r="E94" s="469"/>
      <c r="F94" s="469" t="s">
        <v>48</v>
      </c>
      <c r="G94" s="469"/>
    </row>
    <row r="95" spans="1:15" ht="66" x14ac:dyDescent="0.3">
      <c r="A95" s="468"/>
      <c r="B95" s="116" t="s">
        <v>84</v>
      </c>
      <c r="C95" s="116" t="s">
        <v>85</v>
      </c>
      <c r="D95" s="116" t="s">
        <v>84</v>
      </c>
      <c r="E95" s="116" t="s">
        <v>85</v>
      </c>
      <c r="F95" s="116" t="s">
        <v>84</v>
      </c>
      <c r="G95" s="116" t="s">
        <v>85</v>
      </c>
    </row>
    <row r="96" spans="1:15" x14ac:dyDescent="0.3">
      <c r="A96" s="90" t="s">
        <v>86</v>
      </c>
      <c r="B96" s="101">
        <v>1</v>
      </c>
      <c r="C96" s="101">
        <v>12000</v>
      </c>
      <c r="D96" s="90">
        <v>1</v>
      </c>
      <c r="E96" s="101">
        <v>13200</v>
      </c>
      <c r="F96" s="101">
        <v>1</v>
      </c>
      <c r="G96" s="90">
        <v>14500</v>
      </c>
      <c r="I96" s="89" t="s">
        <v>416</v>
      </c>
    </row>
    <row r="97" spans="1:7" x14ac:dyDescent="0.3">
      <c r="A97" s="90" t="s">
        <v>87</v>
      </c>
      <c r="B97" s="101">
        <v>1</v>
      </c>
      <c r="C97" s="101">
        <v>10000</v>
      </c>
      <c r="D97" s="90">
        <v>1</v>
      </c>
      <c r="E97" s="101">
        <v>11000</v>
      </c>
      <c r="F97" s="101">
        <v>1</v>
      </c>
      <c r="G97" s="90">
        <v>12000</v>
      </c>
    </row>
    <row r="98" spans="1:7" x14ac:dyDescent="0.3">
      <c r="A98" s="90" t="s">
        <v>88</v>
      </c>
      <c r="B98" s="101">
        <v>1</v>
      </c>
      <c r="C98" s="101">
        <v>10000</v>
      </c>
      <c r="D98" s="90">
        <v>1</v>
      </c>
      <c r="E98" s="101">
        <v>11000</v>
      </c>
      <c r="F98" s="101">
        <v>1</v>
      </c>
      <c r="G98" s="90">
        <v>12000</v>
      </c>
    </row>
    <row r="99" spans="1:7" x14ac:dyDescent="0.3">
      <c r="A99" s="90" t="s">
        <v>89</v>
      </c>
      <c r="B99" s="101">
        <v>2</v>
      </c>
      <c r="C99" s="101">
        <v>7000</v>
      </c>
      <c r="D99" s="90">
        <v>2</v>
      </c>
      <c r="E99" s="101">
        <v>8000</v>
      </c>
      <c r="F99" s="101">
        <v>2</v>
      </c>
      <c r="G99" s="90">
        <v>9000</v>
      </c>
    </row>
    <row r="100" spans="1:7" x14ac:dyDescent="0.3">
      <c r="A100" s="90" t="s">
        <v>90</v>
      </c>
      <c r="B100" s="101">
        <v>2</v>
      </c>
      <c r="C100" s="101">
        <v>8000</v>
      </c>
      <c r="D100" s="90">
        <v>2</v>
      </c>
      <c r="E100" s="101">
        <v>8800</v>
      </c>
      <c r="F100" s="101">
        <v>2</v>
      </c>
      <c r="G100" s="90">
        <v>9600</v>
      </c>
    </row>
    <row r="101" spans="1:7" x14ac:dyDescent="0.3">
      <c r="A101" s="90" t="s">
        <v>91</v>
      </c>
      <c r="B101" s="101">
        <v>1</v>
      </c>
      <c r="C101" s="101">
        <v>7000</v>
      </c>
      <c r="D101" s="90">
        <v>1</v>
      </c>
      <c r="E101" s="101">
        <v>7700</v>
      </c>
      <c r="F101" s="101">
        <v>1</v>
      </c>
      <c r="G101" s="90">
        <v>8500</v>
      </c>
    </row>
    <row r="103" spans="1:7" x14ac:dyDescent="0.3">
      <c r="A103" t="s">
        <v>92</v>
      </c>
    </row>
    <row r="104" spans="1:7" s="44" customFormat="1" ht="43.2" x14ac:dyDescent="0.3">
      <c r="A104" s="56" t="s">
        <v>52</v>
      </c>
      <c r="B104" s="56" t="s">
        <v>93</v>
      </c>
      <c r="C104" s="56" t="s">
        <v>94</v>
      </c>
      <c r="D104" s="56" t="s">
        <v>95</v>
      </c>
      <c r="E104" s="56" t="s">
        <v>96</v>
      </c>
    </row>
    <row r="105" spans="1:7" x14ac:dyDescent="0.3">
      <c r="A105" s="97" t="s">
        <v>53</v>
      </c>
      <c r="B105" s="97">
        <v>166.8</v>
      </c>
      <c r="C105" s="97">
        <v>32</v>
      </c>
      <c r="D105" s="97">
        <v>5.5</v>
      </c>
      <c r="E105" s="97">
        <v>0.28000000000000003</v>
      </c>
    </row>
    <row r="106" spans="1:7" x14ac:dyDescent="0.3">
      <c r="A106" s="90" t="s">
        <v>54</v>
      </c>
      <c r="B106" s="97">
        <v>375.4</v>
      </c>
      <c r="C106" s="97">
        <v>128</v>
      </c>
      <c r="D106" s="117">
        <v>37</v>
      </c>
      <c r="E106" s="90">
        <v>1.28</v>
      </c>
    </row>
    <row r="107" spans="1:7" x14ac:dyDescent="0.3">
      <c r="A107" s="90" t="s">
        <v>55</v>
      </c>
      <c r="B107" s="97">
        <v>232.1</v>
      </c>
      <c r="C107" s="97">
        <v>35</v>
      </c>
      <c r="D107" s="97">
        <v>5.5</v>
      </c>
      <c r="E107" s="90">
        <v>0.67</v>
      </c>
    </row>
    <row r="108" spans="1:7" x14ac:dyDescent="0.3">
      <c r="A108" s="90" t="s">
        <v>56</v>
      </c>
      <c r="B108" s="97">
        <v>358.4</v>
      </c>
      <c r="C108" s="97">
        <v>170</v>
      </c>
      <c r="D108" s="117">
        <v>39</v>
      </c>
      <c r="E108" s="90">
        <v>1.64</v>
      </c>
    </row>
    <row r="109" spans="1:7" x14ac:dyDescent="0.3">
      <c r="A109" s="90" t="s">
        <v>57</v>
      </c>
      <c r="B109" s="97">
        <v>716.7</v>
      </c>
      <c r="C109" s="97">
        <v>180</v>
      </c>
      <c r="D109" s="117">
        <v>60</v>
      </c>
      <c r="E109" s="102">
        <v>9</v>
      </c>
    </row>
    <row r="110" spans="1:7" x14ac:dyDescent="0.3">
      <c r="A110" s="90" t="s">
        <v>58</v>
      </c>
      <c r="B110" s="97">
        <v>1467.6</v>
      </c>
      <c r="C110" s="97">
        <v>250</v>
      </c>
      <c r="D110" s="117">
        <v>60</v>
      </c>
      <c r="E110" s="90">
        <v>12.8</v>
      </c>
    </row>
    <row r="111" spans="1:7" x14ac:dyDescent="0.3">
      <c r="A111" s="90" t="s">
        <v>59</v>
      </c>
      <c r="B111" s="97">
        <v>716.7</v>
      </c>
      <c r="C111" s="97">
        <v>330</v>
      </c>
      <c r="D111" s="117">
        <v>65</v>
      </c>
      <c r="E111" s="90">
        <v>4.8</v>
      </c>
    </row>
    <row r="112" spans="1:7" x14ac:dyDescent="0.3">
      <c r="A112" s="90" t="s">
        <v>60</v>
      </c>
      <c r="B112" s="97">
        <v>716.7</v>
      </c>
      <c r="C112" s="97">
        <v>180</v>
      </c>
      <c r="D112" s="117">
        <v>10</v>
      </c>
      <c r="E112" s="118">
        <v>5</v>
      </c>
    </row>
    <row r="113" spans="1:15" x14ac:dyDescent="0.3">
      <c r="A113" s="90" t="s">
        <v>61</v>
      </c>
      <c r="B113" s="97"/>
      <c r="C113" s="97"/>
      <c r="D113" s="97"/>
      <c r="E113" s="90"/>
    </row>
    <row r="114" spans="1:15" x14ac:dyDescent="0.3">
      <c r="A114" s="90" t="s">
        <v>62</v>
      </c>
      <c r="B114" s="97">
        <v>91.9</v>
      </c>
      <c r="C114" s="97">
        <v>18</v>
      </c>
      <c r="D114" s="97"/>
      <c r="E114" s="90"/>
    </row>
    <row r="116" spans="1:15" x14ac:dyDescent="0.3">
      <c r="A116" t="s">
        <v>97</v>
      </c>
    </row>
    <row r="117" spans="1:15" ht="43.2" x14ac:dyDescent="0.3">
      <c r="A117" s="56" t="s">
        <v>52</v>
      </c>
      <c r="B117" s="56" t="s">
        <v>98</v>
      </c>
      <c r="C117" s="56" t="s">
        <v>94</v>
      </c>
      <c r="D117" s="56" t="s">
        <v>95</v>
      </c>
      <c r="E117" s="56" t="s">
        <v>99</v>
      </c>
    </row>
    <row r="118" spans="1:15" x14ac:dyDescent="0.3">
      <c r="A118" s="47" t="s">
        <v>48</v>
      </c>
      <c r="B118" s="103">
        <f>C118/3600*1000</f>
        <v>1.6666666666666667</v>
      </c>
      <c r="C118" s="103">
        <v>6</v>
      </c>
      <c r="D118" s="103">
        <v>16</v>
      </c>
      <c r="E118" s="103">
        <f>C118*277.77/0.4432/10</f>
        <v>376.04241877256317</v>
      </c>
      <c r="G118" s="89" t="s">
        <v>100</v>
      </c>
    </row>
    <row r="119" spans="1:15" x14ac:dyDescent="0.3">
      <c r="A119" s="31" t="s">
        <v>48</v>
      </c>
      <c r="B119" s="103">
        <f t="shared" ref="B119:B120" si="2">C119/3600*1000</f>
        <v>1.8055555555555556</v>
      </c>
      <c r="C119" s="103">
        <v>6.5</v>
      </c>
      <c r="D119" s="103">
        <v>17</v>
      </c>
      <c r="E119" s="103">
        <f t="shared" ref="E119:E120" si="3">C119*277.77/0.4432/10</f>
        <v>407.3792870036101</v>
      </c>
      <c r="G119" s="89" t="s">
        <v>101</v>
      </c>
    </row>
    <row r="120" spans="1:15" x14ac:dyDescent="0.3">
      <c r="A120" s="31" t="s">
        <v>48</v>
      </c>
      <c r="B120" s="103">
        <f t="shared" si="2"/>
        <v>1.9444444444444444</v>
      </c>
      <c r="C120" s="103">
        <v>7</v>
      </c>
      <c r="D120" s="103">
        <v>18</v>
      </c>
      <c r="E120" s="103">
        <f t="shared" si="3"/>
        <v>438.71615523465709</v>
      </c>
    </row>
    <row r="122" spans="1:15" ht="15" thickBot="1" x14ac:dyDescent="0.35">
      <c r="A122" t="s">
        <v>102</v>
      </c>
    </row>
    <row r="123" spans="1:15" x14ac:dyDescent="0.3">
      <c r="A123" s="456" t="s">
        <v>103</v>
      </c>
      <c r="B123" s="458" t="s">
        <v>33</v>
      </c>
      <c r="C123" s="459"/>
      <c r="D123" s="459"/>
      <c r="E123" s="459"/>
      <c r="F123" s="459"/>
      <c r="G123" s="459"/>
      <c r="H123" s="459"/>
      <c r="I123" s="459"/>
      <c r="J123" s="459"/>
      <c r="K123" s="459"/>
      <c r="L123" s="459"/>
      <c r="M123" s="460"/>
    </row>
    <row r="124" spans="1:15" ht="15" thickBot="1" x14ac:dyDescent="0.35">
      <c r="A124" s="457"/>
      <c r="B124" s="42" t="s">
        <v>34</v>
      </c>
      <c r="C124" s="43" t="s">
        <v>35</v>
      </c>
      <c r="D124" s="43" t="s">
        <v>36</v>
      </c>
      <c r="E124" s="43" t="s">
        <v>37</v>
      </c>
      <c r="F124" s="43" t="s">
        <v>38</v>
      </c>
      <c r="G124" s="43" t="s">
        <v>39</v>
      </c>
      <c r="H124" s="43" t="s">
        <v>40</v>
      </c>
      <c r="I124" s="43" t="s">
        <v>41</v>
      </c>
      <c r="J124" s="43" t="s">
        <v>42</v>
      </c>
      <c r="K124" s="43" t="s">
        <v>43</v>
      </c>
      <c r="L124" s="43" t="s">
        <v>44</v>
      </c>
      <c r="M124" s="48" t="s">
        <v>45</v>
      </c>
    </row>
    <row r="125" spans="1:15" x14ac:dyDescent="0.3">
      <c r="A125" s="47" t="s">
        <v>48</v>
      </c>
      <c r="B125" s="101">
        <v>10</v>
      </c>
      <c r="C125" s="101">
        <v>10</v>
      </c>
      <c r="D125" s="101">
        <v>10</v>
      </c>
      <c r="E125" s="101">
        <v>10</v>
      </c>
      <c r="F125" s="101">
        <v>10</v>
      </c>
      <c r="G125" s="101">
        <v>10</v>
      </c>
      <c r="H125" s="101">
        <v>10</v>
      </c>
      <c r="I125" s="101">
        <v>10</v>
      </c>
      <c r="J125" s="101">
        <v>10</v>
      </c>
      <c r="K125" s="101">
        <v>10</v>
      </c>
      <c r="L125" s="101">
        <v>10</v>
      </c>
      <c r="M125" s="101">
        <v>10</v>
      </c>
      <c r="O125" s="89" t="s">
        <v>417</v>
      </c>
    </row>
    <row r="126" spans="1:15" x14ac:dyDescent="0.3">
      <c r="A126" s="31" t="s">
        <v>48</v>
      </c>
      <c r="B126" s="101">
        <v>11</v>
      </c>
      <c r="C126" s="101">
        <v>11</v>
      </c>
      <c r="D126" s="101">
        <v>11</v>
      </c>
      <c r="E126" s="101">
        <v>11</v>
      </c>
      <c r="F126" s="101">
        <v>11</v>
      </c>
      <c r="G126" s="101">
        <v>11</v>
      </c>
      <c r="H126" s="101">
        <v>11</v>
      </c>
      <c r="I126" s="101">
        <v>11</v>
      </c>
      <c r="J126" s="101">
        <v>11</v>
      </c>
      <c r="K126" s="101">
        <v>11</v>
      </c>
      <c r="L126" s="101">
        <v>11</v>
      </c>
      <c r="M126" s="101">
        <v>11</v>
      </c>
    </row>
    <row r="127" spans="1:15" x14ac:dyDescent="0.3">
      <c r="A127" s="31" t="s">
        <v>48</v>
      </c>
      <c r="B127" s="101">
        <v>12</v>
      </c>
      <c r="C127" s="101">
        <v>12</v>
      </c>
      <c r="D127" s="101">
        <v>12</v>
      </c>
      <c r="E127" s="101">
        <v>12</v>
      </c>
      <c r="F127" s="101">
        <v>12</v>
      </c>
      <c r="G127" s="101">
        <v>12</v>
      </c>
      <c r="H127" s="101">
        <v>12</v>
      </c>
      <c r="I127" s="101">
        <v>12</v>
      </c>
      <c r="J127" s="101">
        <v>12</v>
      </c>
      <c r="K127" s="101">
        <v>12</v>
      </c>
      <c r="L127" s="101">
        <v>12</v>
      </c>
      <c r="M127" s="101">
        <v>12</v>
      </c>
    </row>
    <row r="129" spans="1:15" ht="15" thickBot="1" x14ac:dyDescent="0.35">
      <c r="A129" t="s">
        <v>104</v>
      </c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1:15" s="61" customFormat="1" x14ac:dyDescent="0.3">
      <c r="A130" s="461" t="s">
        <v>105</v>
      </c>
      <c r="B130" s="463" t="s">
        <v>33</v>
      </c>
      <c r="C130" s="464"/>
      <c r="D130" s="464"/>
      <c r="E130" s="464"/>
      <c r="F130" s="464"/>
      <c r="G130" s="464"/>
      <c r="H130" s="464"/>
      <c r="I130" s="464"/>
      <c r="J130" s="464"/>
      <c r="K130" s="464"/>
      <c r="L130" s="464"/>
      <c r="M130" s="465"/>
    </row>
    <row r="131" spans="1:15" s="61" customFormat="1" x14ac:dyDescent="0.3">
      <c r="A131" s="462"/>
      <c r="B131" s="45" t="s">
        <v>34</v>
      </c>
      <c r="C131" s="46" t="s">
        <v>35</v>
      </c>
      <c r="D131" s="46" t="s">
        <v>36</v>
      </c>
      <c r="E131" s="46" t="s">
        <v>37</v>
      </c>
      <c r="F131" s="46" t="s">
        <v>38</v>
      </c>
      <c r="G131" s="46" t="s">
        <v>39</v>
      </c>
      <c r="H131" s="46" t="s">
        <v>40</v>
      </c>
      <c r="I131" s="46" t="s">
        <v>41</v>
      </c>
      <c r="J131" s="46" t="s">
        <v>42</v>
      </c>
      <c r="K131" s="46" t="s">
        <v>43</v>
      </c>
      <c r="L131" s="46" t="s">
        <v>44</v>
      </c>
      <c r="M131" s="60" t="s">
        <v>45</v>
      </c>
    </row>
    <row r="132" spans="1:15" ht="28.8" x14ac:dyDescent="0.3">
      <c r="A132" s="63" t="s">
        <v>106</v>
      </c>
      <c r="B132" s="104">
        <v>3000</v>
      </c>
      <c r="C132" s="104">
        <f t="shared" ref="C132:C142" si="4">B132</f>
        <v>3000</v>
      </c>
      <c r="D132" s="104">
        <f t="shared" ref="D132:M142" si="5">C132</f>
        <v>3000</v>
      </c>
      <c r="E132" s="104">
        <f t="shared" si="5"/>
        <v>3000</v>
      </c>
      <c r="F132" s="104">
        <f t="shared" si="5"/>
        <v>3000</v>
      </c>
      <c r="G132" s="104">
        <f t="shared" si="5"/>
        <v>3000</v>
      </c>
      <c r="H132" s="104">
        <f t="shared" si="5"/>
        <v>3000</v>
      </c>
      <c r="I132" s="104">
        <f t="shared" si="5"/>
        <v>3000</v>
      </c>
      <c r="J132" s="104">
        <f t="shared" si="5"/>
        <v>3000</v>
      </c>
      <c r="K132" s="104">
        <f t="shared" si="5"/>
        <v>3000</v>
      </c>
      <c r="L132" s="104">
        <f t="shared" si="5"/>
        <v>3000</v>
      </c>
      <c r="M132" s="104">
        <f t="shared" si="5"/>
        <v>3000</v>
      </c>
      <c r="O132" s="89" t="s">
        <v>418</v>
      </c>
    </row>
    <row r="133" spans="1:15" x14ac:dyDescent="0.3">
      <c r="A133" s="31" t="s">
        <v>107</v>
      </c>
      <c r="B133" s="104">
        <v>1200</v>
      </c>
      <c r="C133" s="104">
        <f t="shared" si="4"/>
        <v>1200</v>
      </c>
      <c r="D133" s="104">
        <f t="shared" si="5"/>
        <v>1200</v>
      </c>
      <c r="E133" s="104">
        <f t="shared" si="5"/>
        <v>1200</v>
      </c>
      <c r="F133" s="104">
        <f t="shared" si="5"/>
        <v>1200</v>
      </c>
      <c r="G133" s="104">
        <f t="shared" si="5"/>
        <v>1200</v>
      </c>
      <c r="H133" s="104">
        <f t="shared" si="5"/>
        <v>1200</v>
      </c>
      <c r="I133" s="104">
        <f t="shared" si="5"/>
        <v>1200</v>
      </c>
      <c r="J133" s="104">
        <f t="shared" si="5"/>
        <v>1200</v>
      </c>
      <c r="K133" s="104">
        <f t="shared" si="5"/>
        <v>1200</v>
      </c>
      <c r="L133" s="104">
        <f t="shared" si="5"/>
        <v>1200</v>
      </c>
      <c r="M133" s="104">
        <f t="shared" si="5"/>
        <v>1200</v>
      </c>
    </row>
    <row r="134" spans="1:15" x14ac:dyDescent="0.3">
      <c r="A134" s="63" t="s">
        <v>108</v>
      </c>
      <c r="B134" s="104">
        <v>200</v>
      </c>
      <c r="C134" s="104">
        <f t="shared" si="4"/>
        <v>200</v>
      </c>
      <c r="D134" s="104">
        <f t="shared" si="5"/>
        <v>200</v>
      </c>
      <c r="E134" s="104">
        <f t="shared" si="5"/>
        <v>200</v>
      </c>
      <c r="F134" s="104">
        <f t="shared" si="5"/>
        <v>200</v>
      </c>
      <c r="G134" s="104">
        <f t="shared" si="5"/>
        <v>200</v>
      </c>
      <c r="H134" s="104">
        <f t="shared" si="5"/>
        <v>200</v>
      </c>
      <c r="I134" s="104">
        <f t="shared" si="5"/>
        <v>200</v>
      </c>
      <c r="J134" s="104">
        <f t="shared" si="5"/>
        <v>200</v>
      </c>
      <c r="K134" s="104">
        <f t="shared" si="5"/>
        <v>200</v>
      </c>
      <c r="L134" s="104">
        <f t="shared" si="5"/>
        <v>200</v>
      </c>
      <c r="M134" s="104">
        <f t="shared" si="5"/>
        <v>200</v>
      </c>
    </row>
    <row r="135" spans="1:15" x14ac:dyDescent="0.3">
      <c r="A135" s="64" t="s">
        <v>109</v>
      </c>
      <c r="B135" s="105">
        <v>200</v>
      </c>
      <c r="C135" s="105">
        <f t="shared" si="4"/>
        <v>200</v>
      </c>
      <c r="D135" s="105">
        <f t="shared" si="5"/>
        <v>200</v>
      </c>
      <c r="E135" s="105">
        <f t="shared" si="5"/>
        <v>200</v>
      </c>
      <c r="F135" s="105">
        <f t="shared" si="5"/>
        <v>200</v>
      </c>
      <c r="G135" s="105">
        <f t="shared" si="5"/>
        <v>200</v>
      </c>
      <c r="H135" s="105">
        <f t="shared" si="5"/>
        <v>200</v>
      </c>
      <c r="I135" s="105">
        <f t="shared" si="5"/>
        <v>200</v>
      </c>
      <c r="J135" s="105">
        <f t="shared" si="5"/>
        <v>200</v>
      </c>
      <c r="K135" s="105">
        <f t="shared" si="5"/>
        <v>200</v>
      </c>
      <c r="L135" s="105">
        <f t="shared" si="5"/>
        <v>200</v>
      </c>
      <c r="M135" s="105">
        <f t="shared" si="5"/>
        <v>200</v>
      </c>
    </row>
    <row r="136" spans="1:15" ht="40.200000000000003" x14ac:dyDescent="0.3">
      <c r="A136" s="10" t="s">
        <v>110</v>
      </c>
      <c r="B136" s="104">
        <v>1000</v>
      </c>
      <c r="C136" s="104">
        <f t="shared" si="4"/>
        <v>1000</v>
      </c>
      <c r="D136" s="104">
        <f t="shared" si="5"/>
        <v>1000</v>
      </c>
      <c r="E136" s="104">
        <f t="shared" si="5"/>
        <v>1000</v>
      </c>
      <c r="F136" s="104">
        <f t="shared" si="5"/>
        <v>1000</v>
      </c>
      <c r="G136" s="104">
        <f t="shared" si="5"/>
        <v>1000</v>
      </c>
      <c r="H136" s="104">
        <f t="shared" si="5"/>
        <v>1000</v>
      </c>
      <c r="I136" s="104">
        <f t="shared" si="5"/>
        <v>1000</v>
      </c>
      <c r="J136" s="104">
        <f t="shared" si="5"/>
        <v>1000</v>
      </c>
      <c r="K136" s="104">
        <f t="shared" si="5"/>
        <v>1000</v>
      </c>
      <c r="L136" s="104">
        <f t="shared" si="5"/>
        <v>1000</v>
      </c>
      <c r="M136" s="104">
        <f t="shared" si="5"/>
        <v>1000</v>
      </c>
    </row>
    <row r="137" spans="1:15" ht="27" x14ac:dyDescent="0.3">
      <c r="A137" s="10" t="s">
        <v>111</v>
      </c>
      <c r="B137" s="104">
        <v>1000</v>
      </c>
      <c r="C137" s="104">
        <f t="shared" si="4"/>
        <v>1000</v>
      </c>
      <c r="D137" s="104">
        <f t="shared" si="5"/>
        <v>1000</v>
      </c>
      <c r="E137" s="104">
        <f t="shared" si="5"/>
        <v>1000</v>
      </c>
      <c r="F137" s="104">
        <f t="shared" si="5"/>
        <v>1000</v>
      </c>
      <c r="G137" s="104">
        <f t="shared" si="5"/>
        <v>1000</v>
      </c>
      <c r="H137" s="104">
        <f t="shared" si="5"/>
        <v>1000</v>
      </c>
      <c r="I137" s="104">
        <f t="shared" si="5"/>
        <v>1000</v>
      </c>
      <c r="J137" s="104">
        <f t="shared" si="5"/>
        <v>1000</v>
      </c>
      <c r="K137" s="104">
        <f t="shared" si="5"/>
        <v>1000</v>
      </c>
      <c r="L137" s="104">
        <f t="shared" si="5"/>
        <v>1000</v>
      </c>
      <c r="M137" s="104">
        <f t="shared" si="5"/>
        <v>1000</v>
      </c>
    </row>
    <row r="138" spans="1:15" ht="40.200000000000003" x14ac:dyDescent="0.3">
      <c r="A138" s="10" t="s">
        <v>112</v>
      </c>
      <c r="B138" s="104">
        <v>1500</v>
      </c>
      <c r="C138" s="104">
        <f t="shared" si="4"/>
        <v>1500</v>
      </c>
      <c r="D138" s="104">
        <f t="shared" si="5"/>
        <v>1500</v>
      </c>
      <c r="E138" s="104">
        <f t="shared" si="5"/>
        <v>1500</v>
      </c>
      <c r="F138" s="104">
        <f t="shared" si="5"/>
        <v>1500</v>
      </c>
      <c r="G138" s="104">
        <f t="shared" si="5"/>
        <v>1500</v>
      </c>
      <c r="H138" s="104">
        <f t="shared" si="5"/>
        <v>1500</v>
      </c>
      <c r="I138" s="104">
        <f t="shared" si="5"/>
        <v>1500</v>
      </c>
      <c r="J138" s="104">
        <f t="shared" si="5"/>
        <v>1500</v>
      </c>
      <c r="K138" s="104">
        <f t="shared" si="5"/>
        <v>1500</v>
      </c>
      <c r="L138" s="104">
        <f t="shared" si="5"/>
        <v>1500</v>
      </c>
      <c r="M138" s="104">
        <f t="shared" si="5"/>
        <v>1500</v>
      </c>
    </row>
    <row r="139" spans="1:15" ht="40.200000000000003" x14ac:dyDescent="0.3">
      <c r="A139" s="10" t="s">
        <v>113</v>
      </c>
      <c r="B139" s="104">
        <v>1000</v>
      </c>
      <c r="C139" s="104">
        <f t="shared" si="4"/>
        <v>1000</v>
      </c>
      <c r="D139" s="104">
        <f t="shared" si="5"/>
        <v>1000</v>
      </c>
      <c r="E139" s="104">
        <f t="shared" si="5"/>
        <v>1000</v>
      </c>
      <c r="F139" s="104">
        <f t="shared" si="5"/>
        <v>1000</v>
      </c>
      <c r="G139" s="104">
        <f t="shared" si="5"/>
        <v>1000</v>
      </c>
      <c r="H139" s="104">
        <f t="shared" si="5"/>
        <v>1000</v>
      </c>
      <c r="I139" s="104">
        <f t="shared" si="5"/>
        <v>1000</v>
      </c>
      <c r="J139" s="104">
        <f t="shared" si="5"/>
        <v>1000</v>
      </c>
      <c r="K139" s="104">
        <f t="shared" si="5"/>
        <v>1000</v>
      </c>
      <c r="L139" s="104">
        <f t="shared" si="5"/>
        <v>1000</v>
      </c>
      <c r="M139" s="104">
        <f t="shared" si="5"/>
        <v>1000</v>
      </c>
    </row>
    <row r="140" spans="1:15" x14ac:dyDescent="0.3">
      <c r="A140" s="10" t="s">
        <v>114</v>
      </c>
      <c r="B140" s="104">
        <v>1000</v>
      </c>
      <c r="C140" s="104">
        <f t="shared" si="4"/>
        <v>1000</v>
      </c>
      <c r="D140" s="104">
        <f t="shared" si="5"/>
        <v>1000</v>
      </c>
      <c r="E140" s="104">
        <f t="shared" si="5"/>
        <v>1000</v>
      </c>
      <c r="F140" s="104">
        <f t="shared" si="5"/>
        <v>1000</v>
      </c>
      <c r="G140" s="104">
        <f t="shared" si="5"/>
        <v>1000</v>
      </c>
      <c r="H140" s="104">
        <f t="shared" si="5"/>
        <v>1000</v>
      </c>
      <c r="I140" s="104">
        <f t="shared" si="5"/>
        <v>1000</v>
      </c>
      <c r="J140" s="104">
        <f t="shared" si="5"/>
        <v>1000</v>
      </c>
      <c r="K140" s="104">
        <f t="shared" si="5"/>
        <v>1000</v>
      </c>
      <c r="L140" s="104">
        <f t="shared" si="5"/>
        <v>1000</v>
      </c>
      <c r="M140" s="104">
        <f t="shared" si="5"/>
        <v>1000</v>
      </c>
    </row>
    <row r="141" spans="1:15" ht="27" x14ac:dyDescent="0.3">
      <c r="A141" s="11" t="s">
        <v>115</v>
      </c>
      <c r="B141" s="104">
        <v>250</v>
      </c>
      <c r="C141" s="104">
        <f t="shared" si="4"/>
        <v>250</v>
      </c>
      <c r="D141" s="104">
        <f t="shared" si="5"/>
        <v>250</v>
      </c>
      <c r="E141" s="104">
        <f t="shared" si="5"/>
        <v>250</v>
      </c>
      <c r="F141" s="104">
        <f t="shared" si="5"/>
        <v>250</v>
      </c>
      <c r="G141" s="104">
        <f t="shared" si="5"/>
        <v>250</v>
      </c>
      <c r="H141" s="104">
        <f t="shared" si="5"/>
        <v>250</v>
      </c>
      <c r="I141" s="104">
        <f t="shared" si="5"/>
        <v>250</v>
      </c>
      <c r="J141" s="104">
        <f t="shared" si="5"/>
        <v>250</v>
      </c>
      <c r="K141" s="104">
        <f t="shared" si="5"/>
        <v>250</v>
      </c>
      <c r="L141" s="104">
        <f t="shared" si="5"/>
        <v>250</v>
      </c>
      <c r="M141" s="104">
        <f t="shared" si="5"/>
        <v>250</v>
      </c>
    </row>
    <row r="142" spans="1:15" ht="40.200000000000003" x14ac:dyDescent="0.3">
      <c r="A142" s="11" t="s">
        <v>116</v>
      </c>
      <c r="B142" s="104">
        <v>2000</v>
      </c>
      <c r="C142" s="104">
        <f t="shared" si="4"/>
        <v>2000</v>
      </c>
      <c r="D142" s="104">
        <f t="shared" si="5"/>
        <v>2000</v>
      </c>
      <c r="E142" s="104">
        <f t="shared" si="5"/>
        <v>2000</v>
      </c>
      <c r="F142" s="104">
        <f t="shared" si="5"/>
        <v>2000</v>
      </c>
      <c r="G142" s="104">
        <f t="shared" si="5"/>
        <v>2000</v>
      </c>
      <c r="H142" s="104">
        <f t="shared" si="5"/>
        <v>2000</v>
      </c>
      <c r="I142" s="104">
        <f t="shared" si="5"/>
        <v>2000</v>
      </c>
      <c r="J142" s="104">
        <f t="shared" si="5"/>
        <v>2000</v>
      </c>
      <c r="K142" s="104">
        <f t="shared" si="5"/>
        <v>2000</v>
      </c>
      <c r="L142" s="104">
        <f t="shared" si="5"/>
        <v>2000</v>
      </c>
      <c r="M142" s="104">
        <f t="shared" si="5"/>
        <v>2000</v>
      </c>
    </row>
    <row r="144" spans="1:15" x14ac:dyDescent="0.3">
      <c r="A144" s="454" t="s">
        <v>117</v>
      </c>
      <c r="B144" s="454"/>
      <c r="C144" s="90">
        <v>10</v>
      </c>
      <c r="D144" t="s">
        <v>118</v>
      </c>
    </row>
    <row r="146" spans="1:4" x14ac:dyDescent="0.3">
      <c r="A146" s="455" t="s">
        <v>119</v>
      </c>
      <c r="B146" s="455"/>
      <c r="C146" s="90">
        <v>1</v>
      </c>
      <c r="D146" t="s">
        <v>118</v>
      </c>
    </row>
  </sheetData>
  <mergeCells count="28">
    <mergeCell ref="A94:A95"/>
    <mergeCell ref="B94:C94"/>
    <mergeCell ref="D94:E94"/>
    <mergeCell ref="F94:G94"/>
    <mergeCell ref="A3:B3"/>
    <mergeCell ref="A35:A36"/>
    <mergeCell ref="B35:M35"/>
    <mergeCell ref="A52:A53"/>
    <mergeCell ref="B52:M52"/>
    <mergeCell ref="A23:A24"/>
    <mergeCell ref="B23:M23"/>
    <mergeCell ref="A28:A29"/>
    <mergeCell ref="B28:M28"/>
    <mergeCell ref="A66:A67"/>
    <mergeCell ref="B66:B67"/>
    <mergeCell ref="A80:A81"/>
    <mergeCell ref="B80:M80"/>
    <mergeCell ref="C66:D66"/>
    <mergeCell ref="E66:F66"/>
    <mergeCell ref="G66:H66"/>
    <mergeCell ref="I66:J66"/>
    <mergeCell ref="K66:L66"/>
    <mergeCell ref="A144:B144"/>
    <mergeCell ref="A146:B146"/>
    <mergeCell ref="A123:A124"/>
    <mergeCell ref="B123:M123"/>
    <mergeCell ref="A130:A131"/>
    <mergeCell ref="B130:M130"/>
  </mergeCells>
  <phoneticPr fontId="14" type="noConversion"/>
  <pageMargins left="0.7" right="0.7" top="0.75" bottom="0.75" header="0.3" footer="0.3"/>
  <pageSetup paperSize="0" orientation="portrait" horizontalDpi="0" verticalDpi="0" copies="0"/>
  <ignoredErrors>
    <ignoredError sqref="C132:M134 C135:M135 C136:M142" unlockedFormula="1"/>
  </ignoredErrors>
  <legacy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F0"/>
  </sheetPr>
  <dimension ref="A1:V28"/>
  <sheetViews>
    <sheetView workbookViewId="0">
      <selection activeCell="S18" sqref="S18"/>
    </sheetView>
  </sheetViews>
  <sheetFormatPr defaultColWidth="9.109375" defaultRowHeight="14.4" x14ac:dyDescent="0.3"/>
  <cols>
    <col min="1" max="1" width="22" style="251" customWidth="1"/>
    <col min="2" max="7" width="8.5546875" style="251" customWidth="1"/>
    <col min="8" max="13" width="9.109375" style="251"/>
    <col min="14" max="14" width="9.109375" style="252"/>
    <col min="15" max="16384" width="9.109375" style="251"/>
  </cols>
  <sheetData>
    <row r="1" spans="1:22" ht="15" customHeight="1" thickBot="1" x14ac:dyDescent="0.35">
      <c r="A1" s="526" t="s">
        <v>311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</row>
    <row r="2" spans="1:22" ht="14.4" customHeight="1" x14ac:dyDescent="0.3">
      <c r="A2" s="521" t="s">
        <v>105</v>
      </c>
      <c r="B2" s="523" t="s">
        <v>33</v>
      </c>
      <c r="C2" s="523"/>
      <c r="D2" s="523"/>
      <c r="E2" s="523"/>
      <c r="F2" s="523"/>
      <c r="G2" s="523"/>
      <c r="H2" s="523"/>
      <c r="I2" s="523"/>
      <c r="J2" s="523"/>
      <c r="K2" s="523"/>
      <c r="L2" s="523"/>
      <c r="M2" s="523"/>
      <c r="N2" s="524" t="s">
        <v>63</v>
      </c>
      <c r="Q2" s="481" t="s">
        <v>127</v>
      </c>
      <c r="R2" s="481"/>
      <c r="S2" s="426"/>
      <c r="T2" s="426"/>
      <c r="U2" s="426"/>
      <c r="V2" s="426"/>
    </row>
    <row r="3" spans="1:22" ht="15" customHeight="1" thickBot="1" x14ac:dyDescent="0.35">
      <c r="A3" s="522"/>
      <c r="B3" s="249" t="s">
        <v>34</v>
      </c>
      <c r="C3" s="249" t="s">
        <v>35</v>
      </c>
      <c r="D3" s="249" t="s">
        <v>36</v>
      </c>
      <c r="E3" s="249" t="s">
        <v>37</v>
      </c>
      <c r="F3" s="249" t="s">
        <v>38</v>
      </c>
      <c r="G3" s="249" t="s">
        <v>39</v>
      </c>
      <c r="H3" s="249" t="s">
        <v>40</v>
      </c>
      <c r="I3" s="249" t="s">
        <v>41</v>
      </c>
      <c r="J3" s="249" t="s">
        <v>42</v>
      </c>
      <c r="K3" s="249" t="s">
        <v>43</v>
      </c>
      <c r="L3" s="249" t="s">
        <v>44</v>
      </c>
      <c r="M3" s="249" t="s">
        <v>45</v>
      </c>
      <c r="N3" s="525"/>
      <c r="Q3" s="499" t="s">
        <v>285</v>
      </c>
      <c r="R3" s="499"/>
      <c r="S3" s="499"/>
      <c r="T3" s="499"/>
      <c r="U3" s="499"/>
      <c r="V3" s="427"/>
    </row>
    <row r="4" spans="1:22" ht="28.8" x14ac:dyDescent="0.3">
      <c r="A4" s="254" t="str">
        <f>Довідник!A$132</f>
        <v>Утримання торгівельних місць</v>
      </c>
      <c r="B4" s="255">
        <f>Довідник!B$132</f>
        <v>3000</v>
      </c>
      <c r="C4" s="255">
        <f>Довідник!C$132</f>
        <v>3000</v>
      </c>
      <c r="D4" s="255">
        <f>Довідник!D$132</f>
        <v>3000</v>
      </c>
      <c r="E4" s="255">
        <f>Довідник!E$132</f>
        <v>3000</v>
      </c>
      <c r="F4" s="255">
        <f>Довідник!F$132</f>
        <v>3000</v>
      </c>
      <c r="G4" s="255">
        <f>Довідник!G$132</f>
        <v>3000</v>
      </c>
      <c r="H4" s="255">
        <f>Довідник!H$132</f>
        <v>3000</v>
      </c>
      <c r="I4" s="255">
        <f>Довідник!I$132</f>
        <v>3000</v>
      </c>
      <c r="J4" s="255">
        <f>Довідник!J$132</f>
        <v>3000</v>
      </c>
      <c r="K4" s="255">
        <f>Довідник!K$132</f>
        <v>3000</v>
      </c>
      <c r="L4" s="255">
        <f>Довідник!L$132</f>
        <v>3000</v>
      </c>
      <c r="M4" s="255">
        <f>Довідник!M$132</f>
        <v>3000</v>
      </c>
      <c r="N4" s="256">
        <f>SUM(B4:M4)</f>
        <v>36000</v>
      </c>
      <c r="Q4" s="499"/>
      <c r="R4" s="499"/>
      <c r="S4" s="499"/>
      <c r="T4" s="499"/>
      <c r="U4" s="499"/>
      <c r="V4" s="427"/>
    </row>
    <row r="5" spans="1:22" x14ac:dyDescent="0.3">
      <c r="A5" s="257" t="str">
        <f>Довідник!A$133</f>
        <v>Реклама</v>
      </c>
      <c r="B5" s="253">
        <f>Довідник!B$133</f>
        <v>1200</v>
      </c>
      <c r="C5" s="253">
        <f>Довідник!C$133</f>
        <v>1200</v>
      </c>
      <c r="D5" s="253">
        <f>Довідник!D$133</f>
        <v>1200</v>
      </c>
      <c r="E5" s="253">
        <f>Довідник!E$133</f>
        <v>1200</v>
      </c>
      <c r="F5" s="253">
        <f>Довідник!F$133</f>
        <v>1200</v>
      </c>
      <c r="G5" s="253">
        <f>Довідник!G$133</f>
        <v>1200</v>
      </c>
      <c r="H5" s="253">
        <f>Довідник!H$133</f>
        <v>1200</v>
      </c>
      <c r="I5" s="253">
        <f>Довідник!I$133</f>
        <v>1200</v>
      </c>
      <c r="J5" s="253">
        <f>Довідник!J$133</f>
        <v>1200</v>
      </c>
      <c r="K5" s="253">
        <f>Довідник!K$133</f>
        <v>1200</v>
      </c>
      <c r="L5" s="253">
        <f>Довідник!L$133</f>
        <v>1200</v>
      </c>
      <c r="M5" s="253">
        <f>Довідник!M$133</f>
        <v>1200</v>
      </c>
      <c r="N5" s="258">
        <f t="shared" ref="N5:N8" si="0">SUM(B5:M5)</f>
        <v>14400</v>
      </c>
      <c r="Q5" s="527" t="s">
        <v>403</v>
      </c>
      <c r="R5" s="527"/>
      <c r="S5" s="527"/>
      <c r="T5" s="527"/>
      <c r="U5" s="527"/>
      <c r="V5" s="427"/>
    </row>
    <row r="6" spans="1:22" x14ac:dyDescent="0.3">
      <c r="A6" s="257" t="str">
        <f>Довідник!A$134</f>
        <v>Соціальні мережі, сайт</v>
      </c>
      <c r="B6" s="253">
        <f>Довідник!B$134</f>
        <v>200</v>
      </c>
      <c r="C6" s="253">
        <f>Довідник!C$134</f>
        <v>200</v>
      </c>
      <c r="D6" s="253">
        <f>Довідник!D$134</f>
        <v>200</v>
      </c>
      <c r="E6" s="253">
        <f>Довідник!E$134</f>
        <v>200</v>
      </c>
      <c r="F6" s="253">
        <f>Довідник!F$134</f>
        <v>200</v>
      </c>
      <c r="G6" s="253">
        <f>Довідник!G$134</f>
        <v>200</v>
      </c>
      <c r="H6" s="253">
        <f>Довідник!H$134</f>
        <v>200</v>
      </c>
      <c r="I6" s="253">
        <f>Довідник!I$134</f>
        <v>200</v>
      </c>
      <c r="J6" s="253">
        <f>Довідник!J$134</f>
        <v>200</v>
      </c>
      <c r="K6" s="253">
        <f>Довідник!K$134</f>
        <v>200</v>
      </c>
      <c r="L6" s="253">
        <f>Довідник!L$134</f>
        <v>200</v>
      </c>
      <c r="M6" s="253">
        <f>Довідник!M$134</f>
        <v>200</v>
      </c>
      <c r="N6" s="258">
        <f t="shared" si="0"/>
        <v>2400</v>
      </c>
      <c r="Q6" s="527"/>
      <c r="R6" s="527"/>
      <c r="S6" s="527"/>
      <c r="T6" s="527"/>
      <c r="U6" s="527"/>
    </row>
    <row r="7" spans="1:22" ht="15" thickBot="1" x14ac:dyDescent="0.35">
      <c r="A7" s="259" t="str">
        <f>Довідник!A$135</f>
        <v>Інші витрати на збут</v>
      </c>
      <c r="B7" s="260">
        <f>Довідник!B$135</f>
        <v>200</v>
      </c>
      <c r="C7" s="260">
        <f>Довідник!C$135</f>
        <v>200</v>
      </c>
      <c r="D7" s="260">
        <f>Довідник!D$135</f>
        <v>200</v>
      </c>
      <c r="E7" s="260">
        <f>Довідник!E$135</f>
        <v>200</v>
      </c>
      <c r="F7" s="260">
        <f>Довідник!F$135</f>
        <v>200</v>
      </c>
      <c r="G7" s="260">
        <f>Довідник!G$135</f>
        <v>200</v>
      </c>
      <c r="H7" s="260">
        <f>Довідник!H$135</f>
        <v>200</v>
      </c>
      <c r="I7" s="260">
        <f>Довідник!I$135</f>
        <v>200</v>
      </c>
      <c r="J7" s="260">
        <f>Довідник!J$135</f>
        <v>200</v>
      </c>
      <c r="K7" s="260">
        <f>Довідник!K$135</f>
        <v>200</v>
      </c>
      <c r="L7" s="260">
        <f>Довідник!L$135</f>
        <v>200</v>
      </c>
      <c r="M7" s="260">
        <f>Довідник!M$135</f>
        <v>200</v>
      </c>
      <c r="N7" s="261">
        <f t="shared" si="0"/>
        <v>2400</v>
      </c>
      <c r="Q7" s="527"/>
      <c r="R7" s="527"/>
      <c r="S7" s="527"/>
      <c r="T7" s="527"/>
      <c r="U7" s="527"/>
    </row>
    <row r="8" spans="1:22" s="252" customFormat="1" ht="15" thickBot="1" x14ac:dyDescent="0.35">
      <c r="A8" s="262" t="s">
        <v>312</v>
      </c>
      <c r="B8" s="263">
        <f>SUM(B4:B7)</f>
        <v>4600</v>
      </c>
      <c r="C8" s="263">
        <f t="shared" ref="C8:M8" si="1">SUM(C4:C7)</f>
        <v>4600</v>
      </c>
      <c r="D8" s="263">
        <f t="shared" si="1"/>
        <v>4600</v>
      </c>
      <c r="E8" s="263">
        <f t="shared" si="1"/>
        <v>4600</v>
      </c>
      <c r="F8" s="263">
        <f t="shared" si="1"/>
        <v>4600</v>
      </c>
      <c r="G8" s="263">
        <f t="shared" si="1"/>
        <v>4600</v>
      </c>
      <c r="H8" s="263">
        <f t="shared" si="1"/>
        <v>4600</v>
      </c>
      <c r="I8" s="263">
        <f t="shared" si="1"/>
        <v>4600</v>
      </c>
      <c r="J8" s="263">
        <f t="shared" si="1"/>
        <v>4600</v>
      </c>
      <c r="K8" s="263">
        <f t="shared" si="1"/>
        <v>4600</v>
      </c>
      <c r="L8" s="263">
        <f t="shared" si="1"/>
        <v>4600</v>
      </c>
      <c r="M8" s="263">
        <f t="shared" si="1"/>
        <v>4600</v>
      </c>
      <c r="N8" s="264">
        <f t="shared" si="0"/>
        <v>55200</v>
      </c>
      <c r="Q8" s="527"/>
      <c r="R8" s="527"/>
      <c r="S8" s="527"/>
      <c r="T8" s="527"/>
      <c r="U8" s="527"/>
    </row>
    <row r="9" spans="1:22" x14ac:dyDescent="0.3">
      <c r="Q9" s="527"/>
      <c r="R9" s="527"/>
      <c r="S9" s="527"/>
      <c r="T9" s="527"/>
      <c r="U9" s="527"/>
    </row>
    <row r="10" spans="1:22" x14ac:dyDescent="0.3">
      <c r="Q10" s="527"/>
      <c r="R10" s="527"/>
      <c r="S10" s="527"/>
      <c r="T10" s="527"/>
      <c r="U10" s="527"/>
    </row>
    <row r="11" spans="1:22" ht="15" customHeight="1" thickBot="1" x14ac:dyDescent="0.35">
      <c r="A11" s="526" t="s">
        <v>311</v>
      </c>
      <c r="B11" s="526"/>
      <c r="C11" s="526"/>
      <c r="D11" s="526"/>
      <c r="E11" s="526"/>
      <c r="F11" s="526"/>
      <c r="G11" s="526"/>
      <c r="H11" s="526"/>
      <c r="I11" s="526"/>
      <c r="J11" s="526"/>
      <c r="K11" s="526"/>
      <c r="L11" s="526"/>
      <c r="M11" s="526"/>
      <c r="N11" s="526"/>
      <c r="Q11" s="527"/>
      <c r="R11" s="527"/>
      <c r="S11" s="527"/>
      <c r="T11" s="527"/>
      <c r="U11" s="527"/>
    </row>
    <row r="12" spans="1:22" x14ac:dyDescent="0.3">
      <c r="A12" s="521" t="s">
        <v>105</v>
      </c>
      <c r="B12" s="523" t="s">
        <v>33</v>
      </c>
      <c r="C12" s="523"/>
      <c r="D12" s="523"/>
      <c r="E12" s="523"/>
      <c r="F12" s="523"/>
      <c r="G12" s="523"/>
      <c r="H12" s="523"/>
      <c r="I12" s="523"/>
      <c r="J12" s="523"/>
      <c r="K12" s="523"/>
      <c r="L12" s="523"/>
      <c r="M12" s="523"/>
      <c r="N12" s="524" t="s">
        <v>63</v>
      </c>
      <c r="Q12" s="527"/>
      <c r="R12" s="527"/>
      <c r="S12" s="527"/>
      <c r="T12" s="527"/>
      <c r="U12" s="527"/>
    </row>
    <row r="13" spans="1:22" ht="15" thickBot="1" x14ac:dyDescent="0.35">
      <c r="A13" s="522"/>
      <c r="B13" s="249" t="s">
        <v>34</v>
      </c>
      <c r="C13" s="249" t="s">
        <v>35</v>
      </c>
      <c r="D13" s="249" t="s">
        <v>36</v>
      </c>
      <c r="E13" s="249" t="s">
        <v>37</v>
      </c>
      <c r="F13" s="249" t="s">
        <v>38</v>
      </c>
      <c r="G13" s="249" t="s">
        <v>39</v>
      </c>
      <c r="H13" s="249" t="s">
        <v>40</v>
      </c>
      <c r="I13" s="249" t="s">
        <v>41</v>
      </c>
      <c r="J13" s="249" t="s">
        <v>42</v>
      </c>
      <c r="K13" s="249" t="s">
        <v>43</v>
      </c>
      <c r="L13" s="249" t="s">
        <v>44</v>
      </c>
      <c r="M13" s="249" t="s">
        <v>45</v>
      </c>
      <c r="N13" s="525"/>
      <c r="Q13" s="527"/>
      <c r="R13" s="527"/>
      <c r="S13" s="527"/>
      <c r="T13" s="527"/>
      <c r="U13" s="527"/>
    </row>
    <row r="14" spans="1:22" ht="28.8" x14ac:dyDescent="0.3">
      <c r="A14" s="254" t="str">
        <f>Довідник!A$132</f>
        <v>Утримання торгівельних місць</v>
      </c>
      <c r="B14" s="255">
        <f>Довідник!B$132+(Довідник!B$132*Довідник!$C$144/100)</f>
        <v>3300</v>
      </c>
      <c r="C14" s="255">
        <f>Довідник!C$132+(Довідник!C$132*Довідник!$C$144/100)</f>
        <v>3300</v>
      </c>
      <c r="D14" s="255">
        <f>Довідник!D$132+(Довідник!D$132*Довідник!$C$144/100)</f>
        <v>3300</v>
      </c>
      <c r="E14" s="255">
        <f>Довідник!E$132+(Довідник!E$132*Довідник!$C$144/100)</f>
        <v>3300</v>
      </c>
      <c r="F14" s="255">
        <f>Довідник!F$132+(Довідник!F$132*Довідник!$C$144/100)</f>
        <v>3300</v>
      </c>
      <c r="G14" s="255">
        <f>Довідник!G$132+(Довідник!G$132*Довідник!$C$144/100)</f>
        <v>3300</v>
      </c>
      <c r="H14" s="255">
        <f>Довідник!H$132+(Довідник!H$132*Довідник!$C$144/100)</f>
        <v>3300</v>
      </c>
      <c r="I14" s="255">
        <f>Довідник!I$132+(Довідник!I$132*Довідник!$C$144/100)</f>
        <v>3300</v>
      </c>
      <c r="J14" s="255">
        <f>Довідник!J$132+(Довідник!J$132*Довідник!$C$144/100)</f>
        <v>3300</v>
      </c>
      <c r="K14" s="255">
        <f>Довідник!K$132+(Довідник!K$132*Довідник!$C$144/100)</f>
        <v>3300</v>
      </c>
      <c r="L14" s="255">
        <f>Довідник!L$132+(Довідник!L$132*Довідник!$C$144/100)</f>
        <v>3300</v>
      </c>
      <c r="M14" s="255">
        <f>Довідник!M$132+(Довідник!M$132*Довідник!$C$144/100)</f>
        <v>3300</v>
      </c>
      <c r="N14" s="256">
        <f>SUM(B14:M14)</f>
        <v>39600</v>
      </c>
    </row>
    <row r="15" spans="1:22" x14ac:dyDescent="0.3">
      <c r="A15" s="257" t="str">
        <f>Довідник!A$133</f>
        <v>Реклама</v>
      </c>
      <c r="B15" s="253">
        <f>Довідник!B$133+(Довідник!B$133*Довідник!$C$144/100)</f>
        <v>1320</v>
      </c>
      <c r="C15" s="253">
        <f>Довідник!C$133+(Довідник!C$133*Довідник!$C$144/100)</f>
        <v>1320</v>
      </c>
      <c r="D15" s="253">
        <f>Довідник!D$133+(Довідник!D$133*Довідник!$C$144/100)</f>
        <v>1320</v>
      </c>
      <c r="E15" s="253">
        <f>Довідник!E$133+(Довідник!E$133*Довідник!$C$144/100)</f>
        <v>1320</v>
      </c>
      <c r="F15" s="253">
        <f>Довідник!F$133+(Довідник!F$133*Довідник!$C$144/100)</f>
        <v>1320</v>
      </c>
      <c r="G15" s="253">
        <f>Довідник!G$133+(Довідник!G$133*Довідник!$C$144/100)</f>
        <v>1320</v>
      </c>
      <c r="H15" s="253">
        <f>Довідник!H$133+(Довідник!H$133*Довідник!$C$144/100)</f>
        <v>1320</v>
      </c>
      <c r="I15" s="253">
        <f>Довідник!I$133+(Довідник!I$133*Довідник!$C$144/100)</f>
        <v>1320</v>
      </c>
      <c r="J15" s="253">
        <f>Довідник!J$133+(Довідник!J$133*Довідник!$C$144/100)</f>
        <v>1320</v>
      </c>
      <c r="K15" s="253">
        <f>Довідник!K$133+(Довідник!K$133*Довідник!$C$144/100)</f>
        <v>1320</v>
      </c>
      <c r="L15" s="253">
        <f>Довідник!L$133+(Довідник!L$133*Довідник!$C$144/100)</f>
        <v>1320</v>
      </c>
      <c r="M15" s="253">
        <f>Довідник!M$133+(Довідник!M$133*Довідник!$C$144/100)</f>
        <v>1320</v>
      </c>
      <c r="N15" s="258">
        <f t="shared" ref="N15:N18" si="2">SUM(B15:M15)</f>
        <v>15840</v>
      </c>
    </row>
    <row r="16" spans="1:22" x14ac:dyDescent="0.3">
      <c r="A16" s="257" t="str">
        <f>Довідник!A$134</f>
        <v>Соціальні мережі, сайт</v>
      </c>
      <c r="B16" s="253">
        <f>Довідник!B$134+(Довідник!B$134*Довідник!$C$144/100)</f>
        <v>220</v>
      </c>
      <c r="C16" s="253">
        <f>Довідник!C$134+(Довідник!C$134*Довідник!$C$144/100)</f>
        <v>220</v>
      </c>
      <c r="D16" s="253">
        <f>Довідник!D$134+(Довідник!D$134*Довідник!$C$144/100)</f>
        <v>220</v>
      </c>
      <c r="E16" s="253">
        <f>Довідник!E$134+(Довідник!E$134*Довідник!$C$144/100)</f>
        <v>220</v>
      </c>
      <c r="F16" s="253">
        <f>Довідник!F$134+(Довідник!F$134*Довідник!$C$144/100)</f>
        <v>220</v>
      </c>
      <c r="G16" s="253">
        <f>Довідник!G$134+(Довідник!G$134*Довідник!$C$144/100)</f>
        <v>220</v>
      </c>
      <c r="H16" s="253">
        <f>Довідник!H$134+(Довідник!H$134*Довідник!$C$144/100)</f>
        <v>220</v>
      </c>
      <c r="I16" s="253">
        <f>Довідник!I$134+(Довідник!I$134*Довідник!$C$144/100)</f>
        <v>220</v>
      </c>
      <c r="J16" s="253">
        <f>Довідник!J$134+(Довідник!J$134*Довідник!$C$144/100)</f>
        <v>220</v>
      </c>
      <c r="K16" s="253">
        <f>Довідник!K$134+(Довідник!K$134*Довідник!$C$144/100)</f>
        <v>220</v>
      </c>
      <c r="L16" s="253">
        <f>Довідник!L$134+(Довідник!L$134*Довідник!$C$144/100)</f>
        <v>220</v>
      </c>
      <c r="M16" s="253">
        <f>Довідник!M$134+(Довідник!M$134*Довідник!$C$144/100)</f>
        <v>220</v>
      </c>
      <c r="N16" s="258">
        <f t="shared" si="2"/>
        <v>2640</v>
      </c>
    </row>
    <row r="17" spans="1:14" ht="15" thickBot="1" x14ac:dyDescent="0.35">
      <c r="A17" s="259" t="str">
        <f>Довідник!A$135</f>
        <v>Інші витрати на збут</v>
      </c>
      <c r="B17" s="260">
        <f>Довідник!B$135+(Довідник!B$135*Довідник!$C$144/100)</f>
        <v>220</v>
      </c>
      <c r="C17" s="260">
        <f>Довідник!C$135+(Довідник!C$135*Довідник!$C$144/100)</f>
        <v>220</v>
      </c>
      <c r="D17" s="260">
        <f>Довідник!D$135+(Довідник!D$135*Довідник!$C$144/100)</f>
        <v>220</v>
      </c>
      <c r="E17" s="260">
        <f>Довідник!E$135+(Довідник!E$135*Довідник!$C$144/100)</f>
        <v>220</v>
      </c>
      <c r="F17" s="260">
        <f>Довідник!F$135+(Довідник!F$135*Довідник!$C$144/100)</f>
        <v>220</v>
      </c>
      <c r="G17" s="260">
        <f>Довідник!G$135+(Довідник!G$135*Довідник!$C$144/100)</f>
        <v>220</v>
      </c>
      <c r="H17" s="260">
        <f>Довідник!H$135+(Довідник!H$135*Довідник!$C$144/100)</f>
        <v>220</v>
      </c>
      <c r="I17" s="260">
        <f>Довідник!I$135+(Довідник!I$135*Довідник!$C$144/100)</f>
        <v>220</v>
      </c>
      <c r="J17" s="260">
        <f>Довідник!J$135+(Довідник!J$135*Довідник!$C$144/100)</f>
        <v>220</v>
      </c>
      <c r="K17" s="260">
        <f>Довідник!K$135+(Довідник!K$135*Довідник!$C$144/100)</f>
        <v>220</v>
      </c>
      <c r="L17" s="260">
        <f>Довідник!L$135+(Довідник!L$135*Довідник!$C$144/100)</f>
        <v>220</v>
      </c>
      <c r="M17" s="260">
        <f>Довідник!M$135+(Довідник!M$135*Довідник!$C$144/100)</f>
        <v>220</v>
      </c>
      <c r="N17" s="261">
        <f t="shared" si="2"/>
        <v>2640</v>
      </c>
    </row>
    <row r="18" spans="1:14" ht="15" thickBot="1" x14ac:dyDescent="0.35">
      <c r="A18" s="262" t="s">
        <v>312</v>
      </c>
      <c r="B18" s="263">
        <f>SUM(B14:B17)</f>
        <v>5060</v>
      </c>
      <c r="C18" s="263">
        <f t="shared" ref="C18" si="3">SUM(C14:C17)</f>
        <v>5060</v>
      </c>
      <c r="D18" s="263">
        <f t="shared" ref="D18" si="4">SUM(D14:D17)</f>
        <v>5060</v>
      </c>
      <c r="E18" s="263">
        <f t="shared" ref="E18" si="5">SUM(E14:E17)</f>
        <v>5060</v>
      </c>
      <c r="F18" s="263">
        <f t="shared" ref="F18" si="6">SUM(F14:F17)</f>
        <v>5060</v>
      </c>
      <c r="G18" s="263">
        <f t="shared" ref="G18" si="7">SUM(G14:G17)</f>
        <v>5060</v>
      </c>
      <c r="H18" s="263">
        <f t="shared" ref="H18" si="8">SUM(H14:H17)</f>
        <v>5060</v>
      </c>
      <c r="I18" s="263">
        <f t="shared" ref="I18" si="9">SUM(I14:I17)</f>
        <v>5060</v>
      </c>
      <c r="J18" s="263">
        <f t="shared" ref="J18" si="10">SUM(J14:J17)</f>
        <v>5060</v>
      </c>
      <c r="K18" s="263">
        <f t="shared" ref="K18" si="11">SUM(K14:K17)</f>
        <v>5060</v>
      </c>
      <c r="L18" s="263">
        <f t="shared" ref="L18" si="12">SUM(L14:L17)</f>
        <v>5060</v>
      </c>
      <c r="M18" s="263">
        <f t="shared" ref="M18" si="13">SUM(M14:M17)</f>
        <v>5060</v>
      </c>
      <c r="N18" s="264">
        <f t="shared" si="2"/>
        <v>60720</v>
      </c>
    </row>
    <row r="21" spans="1:14" ht="15" customHeight="1" thickBot="1" x14ac:dyDescent="0.35">
      <c r="A21" s="526" t="s">
        <v>311</v>
      </c>
      <c r="B21" s="526"/>
      <c r="C21" s="526"/>
      <c r="D21" s="526"/>
      <c r="E21" s="526"/>
      <c r="F21" s="526"/>
      <c r="G21" s="526"/>
      <c r="H21" s="526"/>
      <c r="I21" s="526"/>
      <c r="J21" s="526"/>
      <c r="K21" s="526"/>
      <c r="L21" s="526"/>
      <c r="M21" s="526"/>
      <c r="N21" s="526"/>
    </row>
    <row r="22" spans="1:14" x14ac:dyDescent="0.3">
      <c r="A22" s="521" t="s">
        <v>105</v>
      </c>
      <c r="B22" s="523" t="s">
        <v>33</v>
      </c>
      <c r="C22" s="523"/>
      <c r="D22" s="523"/>
      <c r="E22" s="523"/>
      <c r="F22" s="523"/>
      <c r="G22" s="523"/>
      <c r="H22" s="523"/>
      <c r="I22" s="523"/>
      <c r="J22" s="523"/>
      <c r="K22" s="523"/>
      <c r="L22" s="523"/>
      <c r="M22" s="523"/>
      <c r="N22" s="524" t="s">
        <v>63</v>
      </c>
    </row>
    <row r="23" spans="1:14" ht="15" thickBot="1" x14ac:dyDescent="0.35">
      <c r="A23" s="522"/>
      <c r="B23" s="249" t="s">
        <v>34</v>
      </c>
      <c r="C23" s="249" t="s">
        <v>35</v>
      </c>
      <c r="D23" s="249" t="s">
        <v>36</v>
      </c>
      <c r="E23" s="249" t="s">
        <v>37</v>
      </c>
      <c r="F23" s="249" t="s">
        <v>38</v>
      </c>
      <c r="G23" s="249" t="s">
        <v>39</v>
      </c>
      <c r="H23" s="249" t="s">
        <v>40</v>
      </c>
      <c r="I23" s="249" t="s">
        <v>41</v>
      </c>
      <c r="J23" s="249" t="s">
        <v>42</v>
      </c>
      <c r="K23" s="249" t="s">
        <v>43</v>
      </c>
      <c r="L23" s="249" t="s">
        <v>44</v>
      </c>
      <c r="M23" s="249" t="s">
        <v>45</v>
      </c>
      <c r="N23" s="525"/>
    </row>
    <row r="24" spans="1:14" ht="28.8" x14ac:dyDescent="0.3">
      <c r="A24" s="254" t="str">
        <f>Довідник!A$132</f>
        <v>Утримання торгівельних місць</v>
      </c>
      <c r="B24" s="255">
        <f>Довідник!B$132+(Довідник!B$132*Довідник!$C$144/100*2)</f>
        <v>3600</v>
      </c>
      <c r="C24" s="255">
        <f>Довідник!C$132+(Довідник!C$132*Довідник!$C$144/100*2)</f>
        <v>3600</v>
      </c>
      <c r="D24" s="255">
        <f>Довідник!D$132+(Довідник!D$132*Довідник!$C$144/100*2)</f>
        <v>3600</v>
      </c>
      <c r="E24" s="255">
        <f>Довідник!E$132+(Довідник!E$132*Довідник!$C$144/100*2)</f>
        <v>3600</v>
      </c>
      <c r="F24" s="255">
        <f>Довідник!F$132+(Довідник!F$132*Довідник!$C$144/100*2)</f>
        <v>3600</v>
      </c>
      <c r="G24" s="255">
        <f>Довідник!G$132+(Довідник!G$132*Довідник!$C$144/100*2)</f>
        <v>3600</v>
      </c>
      <c r="H24" s="255">
        <f>Довідник!H$132+(Довідник!H$132*Довідник!$C$144/100*2)</f>
        <v>3600</v>
      </c>
      <c r="I24" s="255">
        <f>Довідник!I$132+(Довідник!I$132*Довідник!$C$144/100*2)</f>
        <v>3600</v>
      </c>
      <c r="J24" s="255">
        <f>Довідник!J$132+(Довідник!J$132*Довідник!$C$144/100*2)</f>
        <v>3600</v>
      </c>
      <c r="K24" s="255">
        <f>Довідник!K$132+(Довідник!K$132*Довідник!$C$144/100*2)</f>
        <v>3600</v>
      </c>
      <c r="L24" s="255">
        <f>Довідник!L$132+(Довідник!L$132*Довідник!$C$144/100*2)</f>
        <v>3600</v>
      </c>
      <c r="M24" s="255">
        <f>Довідник!M$132+(Довідник!M$132*Довідник!$C$144/100*2)</f>
        <v>3600</v>
      </c>
      <c r="N24" s="256">
        <f>SUM(B24:M24)</f>
        <v>43200</v>
      </c>
    </row>
    <row r="25" spans="1:14" x14ac:dyDescent="0.3">
      <c r="A25" s="257" t="str">
        <f>Довідник!A$133</f>
        <v>Реклама</v>
      </c>
      <c r="B25" s="253">
        <f>Довідник!B$133+(Довідник!B$133*Довідник!$C$144/100*2)</f>
        <v>1440</v>
      </c>
      <c r="C25" s="253">
        <f>Довідник!C$133+(Довідник!C$133*Довідник!$C$144/100*2)</f>
        <v>1440</v>
      </c>
      <c r="D25" s="253">
        <f>Довідник!D$133+(Довідник!D$133*Довідник!$C$144/100*2)</f>
        <v>1440</v>
      </c>
      <c r="E25" s="253">
        <f>Довідник!E$133+(Довідник!E$133*Довідник!$C$144/100*2)</f>
        <v>1440</v>
      </c>
      <c r="F25" s="253">
        <f>Довідник!F$133+(Довідник!F$133*Довідник!$C$144/100*2)</f>
        <v>1440</v>
      </c>
      <c r="G25" s="253">
        <f>Довідник!G$133+(Довідник!G$133*Довідник!$C$144/100*2)</f>
        <v>1440</v>
      </c>
      <c r="H25" s="253">
        <f>Довідник!H$133+(Довідник!H$133*Довідник!$C$144/100*2)</f>
        <v>1440</v>
      </c>
      <c r="I25" s="253">
        <f>Довідник!I$133+(Довідник!I$133*Довідник!$C$144/100*2)</f>
        <v>1440</v>
      </c>
      <c r="J25" s="253">
        <f>Довідник!J$133+(Довідник!J$133*Довідник!$C$144/100*2)</f>
        <v>1440</v>
      </c>
      <c r="K25" s="253">
        <f>Довідник!K$133+(Довідник!K$133*Довідник!$C$144/100*2)</f>
        <v>1440</v>
      </c>
      <c r="L25" s="253">
        <f>Довідник!L$133+(Довідник!L$133*Довідник!$C$144/100*2)</f>
        <v>1440</v>
      </c>
      <c r="M25" s="253">
        <f>Довідник!M$133+(Довідник!M$133*Довідник!$C$144/100*2)</f>
        <v>1440</v>
      </c>
      <c r="N25" s="258">
        <f t="shared" ref="N25:N28" si="14">SUM(B25:M25)</f>
        <v>17280</v>
      </c>
    </row>
    <row r="26" spans="1:14" x14ac:dyDescent="0.3">
      <c r="A26" s="257" t="str">
        <f>Довідник!A$134</f>
        <v>Соціальні мережі, сайт</v>
      </c>
      <c r="B26" s="253">
        <f>Довідник!B$134+(Довідник!B$134*Довідник!$C$144/100*2)</f>
        <v>240</v>
      </c>
      <c r="C26" s="253">
        <f>Довідник!C$134+(Довідник!C$134*Довідник!$C$144/100*2)</f>
        <v>240</v>
      </c>
      <c r="D26" s="253">
        <f>Довідник!D$134+(Довідник!D$134*Довідник!$C$144/100*2)</f>
        <v>240</v>
      </c>
      <c r="E26" s="253">
        <f>Довідник!E$134+(Довідник!E$134*Довідник!$C$144/100*2)</f>
        <v>240</v>
      </c>
      <c r="F26" s="253">
        <f>Довідник!F$134+(Довідник!F$134*Довідник!$C$144/100*2)</f>
        <v>240</v>
      </c>
      <c r="G26" s="253">
        <f>Довідник!G$134+(Довідник!G$134*Довідник!$C$144/100*2)</f>
        <v>240</v>
      </c>
      <c r="H26" s="253">
        <f>Довідник!H$134+(Довідник!H$134*Довідник!$C$144/100*2)</f>
        <v>240</v>
      </c>
      <c r="I26" s="253">
        <f>Довідник!I$134+(Довідник!I$134*Довідник!$C$144/100*2)</f>
        <v>240</v>
      </c>
      <c r="J26" s="253">
        <f>Довідник!J$134+(Довідник!J$134*Довідник!$C$144/100*2)</f>
        <v>240</v>
      </c>
      <c r="K26" s="253">
        <f>Довідник!K$134+(Довідник!K$134*Довідник!$C$144/100*2)</f>
        <v>240</v>
      </c>
      <c r="L26" s="253">
        <f>Довідник!L$134+(Довідник!L$134*Довідник!$C$144/100*2)</f>
        <v>240</v>
      </c>
      <c r="M26" s="253">
        <f>Довідник!M$134+(Довідник!M$134*Довідник!$C$144/100*2)</f>
        <v>240</v>
      </c>
      <c r="N26" s="258">
        <f t="shared" si="14"/>
        <v>2880</v>
      </c>
    </row>
    <row r="27" spans="1:14" ht="15" thickBot="1" x14ac:dyDescent="0.35">
      <c r="A27" s="259" t="str">
        <f>Довідник!A$135</f>
        <v>Інші витрати на збут</v>
      </c>
      <c r="B27" s="260">
        <f>Довідник!B$135+(Довідник!B$135*Довідник!$C$144/100*2)</f>
        <v>240</v>
      </c>
      <c r="C27" s="260">
        <f>Довідник!C$135+(Довідник!C$135*Довідник!$C$144/100*2)</f>
        <v>240</v>
      </c>
      <c r="D27" s="260">
        <f>Довідник!D$135+(Довідник!D$135*Довідник!$C$144/100*2)</f>
        <v>240</v>
      </c>
      <c r="E27" s="260">
        <f>Довідник!E$135+(Довідник!E$135*Довідник!$C$144/100*2)</f>
        <v>240</v>
      </c>
      <c r="F27" s="260">
        <f>Довідник!F$135+(Довідник!F$135*Довідник!$C$144/100*2)</f>
        <v>240</v>
      </c>
      <c r="G27" s="260">
        <f>Довідник!G$135+(Довідник!G$135*Довідник!$C$144/100*2)</f>
        <v>240</v>
      </c>
      <c r="H27" s="260">
        <f>Довідник!H$135+(Довідник!H$135*Довідник!$C$144/100*2)</f>
        <v>240</v>
      </c>
      <c r="I27" s="260">
        <f>Довідник!I$135+(Довідник!I$135*Довідник!$C$144/100*2)</f>
        <v>240</v>
      </c>
      <c r="J27" s="260">
        <f>Довідник!J$135+(Довідник!J$135*Довідник!$C$144/100*2)</f>
        <v>240</v>
      </c>
      <c r="K27" s="260">
        <f>Довідник!K$135+(Довідник!K$135*Довідник!$C$144/100*2)</f>
        <v>240</v>
      </c>
      <c r="L27" s="260">
        <f>Довідник!L$135+(Довідник!L$135*Довідник!$C$144/100*2)</f>
        <v>240</v>
      </c>
      <c r="M27" s="260">
        <f>Довідник!M$135+(Довідник!M$135*Довідник!$C$144/100*2)</f>
        <v>240</v>
      </c>
      <c r="N27" s="261">
        <f t="shared" si="14"/>
        <v>2880</v>
      </c>
    </row>
    <row r="28" spans="1:14" ht="15" thickBot="1" x14ac:dyDescent="0.35">
      <c r="A28" s="262" t="s">
        <v>312</v>
      </c>
      <c r="B28" s="263">
        <f>SUM(B24:B27)</f>
        <v>5520</v>
      </c>
      <c r="C28" s="263">
        <f t="shared" ref="C28" si="15">SUM(C24:C27)</f>
        <v>5520</v>
      </c>
      <c r="D28" s="263">
        <f t="shared" ref="D28" si="16">SUM(D24:D27)</f>
        <v>5520</v>
      </c>
      <c r="E28" s="263">
        <f t="shared" ref="E28" si="17">SUM(E24:E27)</f>
        <v>5520</v>
      </c>
      <c r="F28" s="263">
        <f t="shared" ref="F28" si="18">SUM(F24:F27)</f>
        <v>5520</v>
      </c>
      <c r="G28" s="263">
        <f t="shared" ref="G28" si="19">SUM(G24:G27)</f>
        <v>5520</v>
      </c>
      <c r="H28" s="263">
        <f t="shared" ref="H28" si="20">SUM(H24:H27)</f>
        <v>5520</v>
      </c>
      <c r="I28" s="263">
        <f t="shared" ref="I28" si="21">SUM(I24:I27)</f>
        <v>5520</v>
      </c>
      <c r="J28" s="263">
        <f t="shared" ref="J28" si="22">SUM(J24:J27)</f>
        <v>5520</v>
      </c>
      <c r="K28" s="263">
        <f t="shared" ref="K28" si="23">SUM(K24:K27)</f>
        <v>5520</v>
      </c>
      <c r="L28" s="263">
        <f t="shared" ref="L28" si="24">SUM(L24:L27)</f>
        <v>5520</v>
      </c>
      <c r="M28" s="263">
        <f t="shared" ref="M28" si="25">SUM(M24:M27)</f>
        <v>5520</v>
      </c>
      <c r="N28" s="264">
        <f t="shared" si="14"/>
        <v>66240</v>
      </c>
    </row>
  </sheetData>
  <sheetProtection algorithmName="SHA-512" hashValue="h/BtQJalau2q1BROhfRxZtb5FTys53nqHcg3r8hRjFDBYaXLVqfHlZ9vPy7J7V+PEst2kTB99irVZwZd4E/8+g==" saltValue="Z+kPc6SA2HrMg9NZf0s0Qw==" spinCount="100000" sheet="1" objects="1" scenarios="1"/>
  <mergeCells count="15">
    <mergeCell ref="A1:N1"/>
    <mergeCell ref="A11:N11"/>
    <mergeCell ref="A21:N21"/>
    <mergeCell ref="Q2:R2"/>
    <mergeCell ref="Q3:U4"/>
    <mergeCell ref="Q5:U13"/>
    <mergeCell ref="A22:A23"/>
    <mergeCell ref="B22:M22"/>
    <mergeCell ref="N22:N23"/>
    <mergeCell ref="N2:N3"/>
    <mergeCell ref="A12:A13"/>
    <mergeCell ref="B12:M12"/>
    <mergeCell ref="N12:N13"/>
    <mergeCell ref="A2:A3"/>
    <mergeCell ref="B2:M2"/>
  </mergeCells>
  <pageMargins left="0.7" right="0.7" top="0.75" bottom="0.75" header="0.3" footer="0.3"/>
  <ignoredErrors>
    <ignoredError sqref="B4:M7 B14:M17 B24:M27" unlockedFormula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79612-2816-46A1-A258-35C60ED82314}">
  <sheetPr>
    <tabColor rgb="FF00B0F0"/>
  </sheetPr>
  <dimension ref="A1:V37"/>
  <sheetViews>
    <sheetView workbookViewId="0">
      <selection activeCell="R13" sqref="R13"/>
    </sheetView>
  </sheetViews>
  <sheetFormatPr defaultColWidth="8.88671875" defaultRowHeight="14.4" x14ac:dyDescent="0.3"/>
  <cols>
    <col min="1" max="1" width="27.109375" style="225" customWidth="1"/>
    <col min="2" max="16384" width="8.88671875" style="225"/>
  </cols>
  <sheetData>
    <row r="1" spans="1:22" ht="15" customHeight="1" thickBot="1" x14ac:dyDescent="0.35">
      <c r="A1" s="526" t="s">
        <v>313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</row>
    <row r="2" spans="1:22" ht="14.4" customHeight="1" x14ac:dyDescent="0.3">
      <c r="A2" s="521" t="s">
        <v>105</v>
      </c>
      <c r="B2" s="523" t="s">
        <v>33</v>
      </c>
      <c r="C2" s="523"/>
      <c r="D2" s="523"/>
      <c r="E2" s="523"/>
      <c r="F2" s="523"/>
      <c r="G2" s="523"/>
      <c r="H2" s="523"/>
      <c r="I2" s="523"/>
      <c r="J2" s="523"/>
      <c r="K2" s="523"/>
      <c r="L2" s="523"/>
      <c r="M2" s="523"/>
      <c r="N2" s="524" t="s">
        <v>63</v>
      </c>
      <c r="Q2" s="481" t="s">
        <v>127</v>
      </c>
      <c r="R2" s="481"/>
      <c r="S2" s="426"/>
      <c r="T2" s="426"/>
      <c r="U2" s="426"/>
      <c r="V2" s="426"/>
    </row>
    <row r="3" spans="1:22" ht="15" customHeight="1" thickBot="1" x14ac:dyDescent="0.35">
      <c r="A3" s="528"/>
      <c r="B3" s="294" t="s">
        <v>34</v>
      </c>
      <c r="C3" s="294" t="s">
        <v>35</v>
      </c>
      <c r="D3" s="294" t="s">
        <v>36</v>
      </c>
      <c r="E3" s="294" t="s">
        <v>37</v>
      </c>
      <c r="F3" s="294" t="s">
        <v>38</v>
      </c>
      <c r="G3" s="294" t="s">
        <v>39</v>
      </c>
      <c r="H3" s="294" t="s">
        <v>40</v>
      </c>
      <c r="I3" s="294" t="s">
        <v>41</v>
      </c>
      <c r="J3" s="294" t="s">
        <v>42</v>
      </c>
      <c r="K3" s="294" t="s">
        <v>43</v>
      </c>
      <c r="L3" s="294" t="s">
        <v>44</v>
      </c>
      <c r="M3" s="294" t="s">
        <v>45</v>
      </c>
      <c r="N3" s="529"/>
      <c r="Q3" s="499" t="s">
        <v>285</v>
      </c>
      <c r="R3" s="499"/>
      <c r="S3" s="499"/>
      <c r="T3" s="499"/>
      <c r="U3" s="499"/>
      <c r="V3" s="427"/>
    </row>
    <row r="4" spans="1:22" ht="28.8" x14ac:dyDescent="0.3">
      <c r="A4" s="254" t="str">
        <f>Довідник!A$136</f>
        <v>Проведення аналізів якості сировини та продукції</v>
      </c>
      <c r="B4" s="432">
        <f>Довідник!B$136</f>
        <v>1000</v>
      </c>
      <c r="C4" s="432">
        <f>Довідник!C$136</f>
        <v>1000</v>
      </c>
      <c r="D4" s="432">
        <f>Довідник!D$136</f>
        <v>1000</v>
      </c>
      <c r="E4" s="432">
        <f>Довідник!E$136</f>
        <v>1000</v>
      </c>
      <c r="F4" s="432">
        <f>Довідник!F$136</f>
        <v>1000</v>
      </c>
      <c r="G4" s="432">
        <f>Довідник!G$136</f>
        <v>1000</v>
      </c>
      <c r="H4" s="432">
        <f>Довідник!H$136</f>
        <v>1000</v>
      </c>
      <c r="I4" s="432">
        <f>Довідник!I$136</f>
        <v>1000</v>
      </c>
      <c r="J4" s="432">
        <f>Довідник!J$136</f>
        <v>1000</v>
      </c>
      <c r="K4" s="432">
        <f>Довідник!K$136</f>
        <v>1000</v>
      </c>
      <c r="L4" s="432">
        <f>Довідник!L$136</f>
        <v>1000</v>
      </c>
      <c r="M4" s="432">
        <f>Довідник!M$136</f>
        <v>1000</v>
      </c>
      <c r="N4" s="256">
        <f>SUM(B4:M4)</f>
        <v>12000</v>
      </c>
      <c r="Q4" s="499"/>
      <c r="R4" s="499"/>
      <c r="S4" s="499"/>
      <c r="T4" s="499"/>
      <c r="U4" s="499"/>
      <c r="V4" s="427"/>
    </row>
    <row r="5" spans="1:22" ht="28.8" x14ac:dyDescent="0.3">
      <c r="A5" s="257" t="str">
        <f>Довідник!A$137</f>
        <v>Отримання довідок, дозволів тощо</v>
      </c>
      <c r="B5" s="250">
        <f>Довідник!B$137</f>
        <v>1000</v>
      </c>
      <c r="C5" s="250">
        <f>Довідник!C$137</f>
        <v>1000</v>
      </c>
      <c r="D5" s="250">
        <f>Довідник!D$137</f>
        <v>1000</v>
      </c>
      <c r="E5" s="250">
        <f>Довідник!E$137</f>
        <v>1000</v>
      </c>
      <c r="F5" s="250">
        <f>Довідник!F$137</f>
        <v>1000</v>
      </c>
      <c r="G5" s="250">
        <f>Довідник!G$137</f>
        <v>1000</v>
      </c>
      <c r="H5" s="250">
        <f>Довідник!H$137</f>
        <v>1000</v>
      </c>
      <c r="I5" s="250">
        <f>Довідник!I$137</f>
        <v>1000</v>
      </c>
      <c r="J5" s="250">
        <f>Довідник!J$137</f>
        <v>1000</v>
      </c>
      <c r="K5" s="250">
        <f>Довідник!K$137</f>
        <v>1000</v>
      </c>
      <c r="L5" s="250">
        <f>Довідник!L$137</f>
        <v>1000</v>
      </c>
      <c r="M5" s="250">
        <f>Довідник!M$137</f>
        <v>1000</v>
      </c>
      <c r="N5" s="433">
        <f t="shared" ref="N5:N10" si="0">SUM(B5:M5)</f>
        <v>12000</v>
      </c>
      <c r="Q5" s="527" t="s">
        <v>404</v>
      </c>
      <c r="R5" s="527"/>
      <c r="S5" s="527"/>
      <c r="T5" s="527"/>
      <c r="U5" s="527"/>
      <c r="V5" s="427"/>
    </row>
    <row r="6" spans="1:22" ht="43.2" x14ac:dyDescent="0.3">
      <c r="A6" s="257" t="str">
        <f>Довідник!A$138</f>
        <v>Придбання миючих засобів, спецодягу, господарського інвентарю</v>
      </c>
      <c r="B6" s="250">
        <f>Довідник!B$138</f>
        <v>1500</v>
      </c>
      <c r="C6" s="250">
        <f>Довідник!C$138</f>
        <v>1500</v>
      </c>
      <c r="D6" s="250">
        <f>Довідник!D$138</f>
        <v>1500</v>
      </c>
      <c r="E6" s="250">
        <f>Довідник!E$138</f>
        <v>1500</v>
      </c>
      <c r="F6" s="250">
        <f>Довідник!F$138</f>
        <v>1500</v>
      </c>
      <c r="G6" s="250">
        <f>Довідник!G$138</f>
        <v>1500</v>
      </c>
      <c r="H6" s="250">
        <f>Довідник!H$138</f>
        <v>1500</v>
      </c>
      <c r="I6" s="250">
        <f>Довідник!I$138</f>
        <v>1500</v>
      </c>
      <c r="J6" s="250">
        <f>Довідник!J$138</f>
        <v>1500</v>
      </c>
      <c r="K6" s="250">
        <f>Довідник!K$138</f>
        <v>1500</v>
      </c>
      <c r="L6" s="250">
        <f>Довідник!L$138</f>
        <v>1500</v>
      </c>
      <c r="M6" s="250">
        <f>Довідник!M$138</f>
        <v>1500</v>
      </c>
      <c r="N6" s="433">
        <f t="shared" si="0"/>
        <v>18000</v>
      </c>
      <c r="Q6" s="527"/>
      <c r="R6" s="527"/>
      <c r="S6" s="527"/>
      <c r="T6" s="527"/>
      <c r="U6" s="527"/>
    </row>
    <row r="7" spans="1:22" ht="28.8" x14ac:dyDescent="0.3">
      <c r="A7" s="257" t="str">
        <f>Довідник!A$139</f>
        <v>Офісні витрати (канцелярскі товари, зв`язок, тощо)</v>
      </c>
      <c r="B7" s="250">
        <f>Довідник!B$139</f>
        <v>1000</v>
      </c>
      <c r="C7" s="250">
        <f>Довідник!C$139</f>
        <v>1000</v>
      </c>
      <c r="D7" s="250">
        <f>Довідник!D$139</f>
        <v>1000</v>
      </c>
      <c r="E7" s="250">
        <f>Довідник!E$139</f>
        <v>1000</v>
      </c>
      <c r="F7" s="250">
        <f>Довідник!F$139</f>
        <v>1000</v>
      </c>
      <c r="G7" s="250">
        <f>Довідник!G$139</f>
        <v>1000</v>
      </c>
      <c r="H7" s="250">
        <f>Довідник!H$139</f>
        <v>1000</v>
      </c>
      <c r="I7" s="250">
        <f>Довідник!I$139</f>
        <v>1000</v>
      </c>
      <c r="J7" s="250">
        <f>Довідник!J$139</f>
        <v>1000</v>
      </c>
      <c r="K7" s="250">
        <f>Довідник!K$139</f>
        <v>1000</v>
      </c>
      <c r="L7" s="250">
        <f>Довідник!L$139</f>
        <v>1000</v>
      </c>
      <c r="M7" s="250">
        <f>Довідник!M$139</f>
        <v>1000</v>
      </c>
      <c r="N7" s="433">
        <f t="shared" si="0"/>
        <v>12000</v>
      </c>
      <c r="Q7" s="527"/>
      <c r="R7" s="527"/>
      <c r="S7" s="527"/>
      <c r="T7" s="527"/>
      <c r="U7" s="527"/>
    </row>
    <row r="8" spans="1:22" x14ac:dyDescent="0.3">
      <c r="A8" s="257" t="str">
        <f>Довідник!A$140</f>
        <v>Сплата орендних платежів</v>
      </c>
      <c r="B8" s="250">
        <f>Довідник!B$140</f>
        <v>1000</v>
      </c>
      <c r="C8" s="250">
        <f>Довідник!C$140</f>
        <v>1000</v>
      </c>
      <c r="D8" s="250">
        <f>Довідник!D$140</f>
        <v>1000</v>
      </c>
      <c r="E8" s="250">
        <f>Довідник!E$140</f>
        <v>1000</v>
      </c>
      <c r="F8" s="250">
        <f>Довідник!F$140</f>
        <v>1000</v>
      </c>
      <c r="G8" s="250">
        <f>Довідник!G$140</f>
        <v>1000</v>
      </c>
      <c r="H8" s="250">
        <f>Довідник!H$140</f>
        <v>1000</v>
      </c>
      <c r="I8" s="250">
        <f>Довідник!I$140</f>
        <v>1000</v>
      </c>
      <c r="J8" s="250">
        <f>Довідник!J$140</f>
        <v>1000</v>
      </c>
      <c r="K8" s="250">
        <f>Довідник!K$140</f>
        <v>1000</v>
      </c>
      <c r="L8" s="250">
        <f>Довідник!L$140</f>
        <v>1000</v>
      </c>
      <c r="M8" s="250">
        <f>Довідник!M$140</f>
        <v>1000</v>
      </c>
      <c r="N8" s="433">
        <f t="shared" si="0"/>
        <v>12000</v>
      </c>
      <c r="Q8" s="527"/>
      <c r="R8" s="527"/>
      <c r="S8" s="527"/>
      <c r="T8" s="527"/>
      <c r="U8" s="527"/>
    </row>
    <row r="9" spans="1:22" x14ac:dyDescent="0.3">
      <c r="A9" s="257" t="str">
        <f>Довідник!A$141</f>
        <v xml:space="preserve">Витрати на банківські послуги </v>
      </c>
      <c r="B9" s="250">
        <f>Довідник!B$141</f>
        <v>250</v>
      </c>
      <c r="C9" s="250">
        <f>Довідник!C$141</f>
        <v>250</v>
      </c>
      <c r="D9" s="250">
        <f>Довідник!D$141</f>
        <v>250</v>
      </c>
      <c r="E9" s="250">
        <f>Довідник!E$141</f>
        <v>250</v>
      </c>
      <c r="F9" s="250">
        <f>Довідник!F$141</f>
        <v>250</v>
      </c>
      <c r="G9" s="250">
        <f>Довідник!G$141</f>
        <v>250</v>
      </c>
      <c r="H9" s="250">
        <f>Довідник!H$141</f>
        <v>250</v>
      </c>
      <c r="I9" s="250">
        <f>Довідник!I$141</f>
        <v>250</v>
      </c>
      <c r="J9" s="250">
        <f>Довідник!J$141</f>
        <v>250</v>
      </c>
      <c r="K9" s="250">
        <f>Довідник!K$141</f>
        <v>250</v>
      </c>
      <c r="L9" s="250">
        <f>Довідник!L$141</f>
        <v>250</v>
      </c>
      <c r="M9" s="250">
        <f>Довідник!M$141</f>
        <v>250</v>
      </c>
      <c r="N9" s="433">
        <f t="shared" si="0"/>
        <v>3000</v>
      </c>
      <c r="Q9" s="527"/>
      <c r="R9" s="527"/>
      <c r="S9" s="527"/>
      <c r="T9" s="527"/>
      <c r="U9" s="527"/>
    </row>
    <row r="10" spans="1:22" ht="29.4" thickBot="1" x14ac:dyDescent="0.35">
      <c r="A10" s="259" t="str">
        <f>Довідник!A$142</f>
        <v>Витрати на ремонт та обслуговування обладнання</v>
      </c>
      <c r="B10" s="434">
        <f>Довідник!B$142</f>
        <v>2000</v>
      </c>
      <c r="C10" s="434">
        <f>Довідник!C$142</f>
        <v>2000</v>
      </c>
      <c r="D10" s="434">
        <f>Довідник!D$142</f>
        <v>2000</v>
      </c>
      <c r="E10" s="434">
        <f>Довідник!E$142</f>
        <v>2000</v>
      </c>
      <c r="F10" s="434">
        <f>Довідник!F$142</f>
        <v>2000</v>
      </c>
      <c r="G10" s="434">
        <f>Довідник!G$142</f>
        <v>2000</v>
      </c>
      <c r="H10" s="434">
        <f>Довідник!H$142</f>
        <v>2000</v>
      </c>
      <c r="I10" s="434">
        <f>Довідник!I$142</f>
        <v>2000</v>
      </c>
      <c r="J10" s="434">
        <f>Довідник!J$142</f>
        <v>2000</v>
      </c>
      <c r="K10" s="434">
        <f>Довідник!K$142</f>
        <v>2000</v>
      </c>
      <c r="L10" s="434">
        <f>Довідник!L$142</f>
        <v>2000</v>
      </c>
      <c r="M10" s="434">
        <f>Довідник!M$142</f>
        <v>2000</v>
      </c>
      <c r="N10" s="435">
        <f t="shared" si="0"/>
        <v>24000</v>
      </c>
    </row>
    <row r="11" spans="1:22" ht="15" thickBot="1" x14ac:dyDescent="0.35">
      <c r="A11" s="262" t="s">
        <v>312</v>
      </c>
      <c r="B11" s="263">
        <f t="shared" ref="B11:M11" si="1">SUM(B4:B10)</f>
        <v>7750</v>
      </c>
      <c r="C11" s="263">
        <f t="shared" si="1"/>
        <v>7750</v>
      </c>
      <c r="D11" s="263">
        <f t="shared" si="1"/>
        <v>7750</v>
      </c>
      <c r="E11" s="263">
        <f t="shared" si="1"/>
        <v>7750</v>
      </c>
      <c r="F11" s="263">
        <f t="shared" si="1"/>
        <v>7750</v>
      </c>
      <c r="G11" s="263">
        <f t="shared" si="1"/>
        <v>7750</v>
      </c>
      <c r="H11" s="263">
        <f t="shared" si="1"/>
        <v>7750</v>
      </c>
      <c r="I11" s="263">
        <f t="shared" si="1"/>
        <v>7750</v>
      </c>
      <c r="J11" s="263">
        <f t="shared" si="1"/>
        <v>7750</v>
      </c>
      <c r="K11" s="263">
        <f t="shared" si="1"/>
        <v>7750</v>
      </c>
      <c r="L11" s="263">
        <f t="shared" si="1"/>
        <v>7750</v>
      </c>
      <c r="M11" s="263">
        <f t="shared" si="1"/>
        <v>7750</v>
      </c>
      <c r="N11" s="264">
        <f t="shared" ref="N11" si="2">SUM(B11:M11)</f>
        <v>93000</v>
      </c>
    </row>
    <row r="14" spans="1:22" ht="15" customHeight="1" thickBot="1" x14ac:dyDescent="0.35">
      <c r="A14" s="526" t="s">
        <v>313</v>
      </c>
      <c r="B14" s="526"/>
      <c r="C14" s="526"/>
      <c r="D14" s="526"/>
      <c r="E14" s="526"/>
      <c r="F14" s="526"/>
      <c r="G14" s="526"/>
      <c r="H14" s="526"/>
      <c r="I14" s="526"/>
      <c r="J14" s="526"/>
      <c r="K14" s="526"/>
      <c r="L14" s="526"/>
      <c r="M14" s="526"/>
      <c r="N14" s="526"/>
    </row>
    <row r="15" spans="1:22" x14ac:dyDescent="0.3">
      <c r="A15" s="521" t="s">
        <v>105</v>
      </c>
      <c r="B15" s="523" t="s">
        <v>33</v>
      </c>
      <c r="C15" s="523"/>
      <c r="D15" s="523"/>
      <c r="E15" s="523"/>
      <c r="F15" s="523"/>
      <c r="G15" s="523"/>
      <c r="H15" s="523"/>
      <c r="I15" s="523"/>
      <c r="J15" s="523"/>
      <c r="K15" s="523"/>
      <c r="L15" s="523"/>
      <c r="M15" s="523"/>
      <c r="N15" s="524" t="s">
        <v>63</v>
      </c>
    </row>
    <row r="16" spans="1:22" ht="15" thickBot="1" x14ac:dyDescent="0.35">
      <c r="A16" s="528"/>
      <c r="B16" s="294" t="s">
        <v>34</v>
      </c>
      <c r="C16" s="294" t="s">
        <v>35</v>
      </c>
      <c r="D16" s="294" t="s">
        <v>36</v>
      </c>
      <c r="E16" s="294" t="s">
        <v>37</v>
      </c>
      <c r="F16" s="294" t="s">
        <v>38</v>
      </c>
      <c r="G16" s="294" t="s">
        <v>39</v>
      </c>
      <c r="H16" s="294" t="s">
        <v>40</v>
      </c>
      <c r="I16" s="294" t="s">
        <v>41</v>
      </c>
      <c r="J16" s="294" t="s">
        <v>42</v>
      </c>
      <c r="K16" s="294" t="s">
        <v>43</v>
      </c>
      <c r="L16" s="294" t="s">
        <v>44</v>
      </c>
      <c r="M16" s="294" t="s">
        <v>45</v>
      </c>
      <c r="N16" s="529"/>
    </row>
    <row r="17" spans="1:14" ht="28.8" x14ac:dyDescent="0.3">
      <c r="A17" s="254" t="str">
        <f>Довідник!A$136</f>
        <v>Проведення аналізів якості сировини та продукції</v>
      </c>
      <c r="B17" s="432">
        <f>Довідник!B$136*(100+Довідник!$C$144)/100</f>
        <v>1100</v>
      </c>
      <c r="C17" s="432">
        <f>Довідник!C$136*(100+Довідник!$C$144)/100</f>
        <v>1100</v>
      </c>
      <c r="D17" s="432">
        <f>Довідник!D$136*(100+Довідник!$C$144)/100</f>
        <v>1100</v>
      </c>
      <c r="E17" s="432">
        <f>Довідник!E$136*(100+Довідник!$C$144)/100</f>
        <v>1100</v>
      </c>
      <c r="F17" s="432">
        <f>Довідник!F$136*(100+Довідник!$C$144)/100</f>
        <v>1100</v>
      </c>
      <c r="G17" s="432">
        <f>Довідник!G$136*(100+Довідник!$C$144)/100</f>
        <v>1100</v>
      </c>
      <c r="H17" s="432">
        <f>Довідник!H$136*(100+Довідник!$C$144)/100</f>
        <v>1100</v>
      </c>
      <c r="I17" s="432">
        <f>Довідник!I$136*(100+Довідник!$C$144)/100</f>
        <v>1100</v>
      </c>
      <c r="J17" s="432">
        <f>Довідник!J$136*(100+Довідник!$C$144)/100</f>
        <v>1100</v>
      </c>
      <c r="K17" s="432">
        <f>Довідник!K$136*(100+Довідник!$C$144)/100</f>
        <v>1100</v>
      </c>
      <c r="L17" s="432">
        <f>Довідник!L$136*(100+Довідник!$C$144)/100</f>
        <v>1100</v>
      </c>
      <c r="M17" s="432">
        <f>Довідник!M$136*(100+Довідник!$C$144)/100</f>
        <v>1100</v>
      </c>
      <c r="N17" s="256">
        <f>SUM(B17:M17)</f>
        <v>13200</v>
      </c>
    </row>
    <row r="18" spans="1:14" ht="28.8" x14ac:dyDescent="0.3">
      <c r="A18" s="257" t="str">
        <f>Довідник!A$137</f>
        <v>Отримання довідок, дозволів тощо</v>
      </c>
      <c r="B18" s="250">
        <f>Довідник!B$137*(100+Довідник!$C$144)/100</f>
        <v>1100</v>
      </c>
      <c r="C18" s="250">
        <f>Довідник!C$137*(100+Довідник!$C$144)/100</f>
        <v>1100</v>
      </c>
      <c r="D18" s="250">
        <f>Довідник!D$137*(100+Довідник!$C$144)/100</f>
        <v>1100</v>
      </c>
      <c r="E18" s="250">
        <f>Довідник!E$137*(100+Довідник!$C$144)/100</f>
        <v>1100</v>
      </c>
      <c r="F18" s="250">
        <f>Довідник!F$137*(100+Довідник!$C$144)/100</f>
        <v>1100</v>
      </c>
      <c r="G18" s="250">
        <f>Довідник!G$137*(100+Довідник!$C$144)/100</f>
        <v>1100</v>
      </c>
      <c r="H18" s="250">
        <f>Довідник!H$137*(100+Довідник!$C$144)/100</f>
        <v>1100</v>
      </c>
      <c r="I18" s="250">
        <f>Довідник!I$137*(100+Довідник!$C$144)/100</f>
        <v>1100</v>
      </c>
      <c r="J18" s="250">
        <f>Довідник!J$137*(100+Довідник!$C$144)/100</f>
        <v>1100</v>
      </c>
      <c r="K18" s="250">
        <f>Довідник!K$137*(100+Довідник!$C$144)/100</f>
        <v>1100</v>
      </c>
      <c r="L18" s="250">
        <f>Довідник!L$137*(100+Довідник!$C$144)/100</f>
        <v>1100</v>
      </c>
      <c r="M18" s="250">
        <f>Довідник!M$137*(100+Довідник!$C$144)/100</f>
        <v>1100</v>
      </c>
      <c r="N18" s="433">
        <f t="shared" ref="N18:N24" si="3">SUM(B18:M18)</f>
        <v>13200</v>
      </c>
    </row>
    <row r="19" spans="1:14" ht="43.2" x14ac:dyDescent="0.3">
      <c r="A19" s="257" t="str">
        <f>Довідник!A$138</f>
        <v>Придбання миючих засобів, спецодягу, господарського інвентарю</v>
      </c>
      <c r="B19" s="250">
        <f>Довідник!B$138*(100+Довідник!$C$144)/100</f>
        <v>1650</v>
      </c>
      <c r="C19" s="250">
        <f>Довідник!C$138*(100+Довідник!$C$144)/100</f>
        <v>1650</v>
      </c>
      <c r="D19" s="250">
        <f>Довідник!D$138*(100+Довідник!$C$144)/100</f>
        <v>1650</v>
      </c>
      <c r="E19" s="250">
        <f>Довідник!E$138*(100+Довідник!$C$144)/100</f>
        <v>1650</v>
      </c>
      <c r="F19" s="250">
        <f>Довідник!F$138*(100+Довідник!$C$144)/100</f>
        <v>1650</v>
      </c>
      <c r="G19" s="250">
        <f>Довідник!G$138*(100+Довідник!$C$144)/100</f>
        <v>1650</v>
      </c>
      <c r="H19" s="250">
        <f>Довідник!H$138*(100+Довідник!$C$144)/100</f>
        <v>1650</v>
      </c>
      <c r="I19" s="250">
        <f>Довідник!I$138*(100+Довідник!$C$144)/100</f>
        <v>1650</v>
      </c>
      <c r="J19" s="250">
        <f>Довідник!J$138*(100+Довідник!$C$144)/100</f>
        <v>1650</v>
      </c>
      <c r="K19" s="250">
        <f>Довідник!K$138*(100+Довідник!$C$144)/100</f>
        <v>1650</v>
      </c>
      <c r="L19" s="250">
        <f>Довідник!L$138*(100+Довідник!$C$144)/100</f>
        <v>1650</v>
      </c>
      <c r="M19" s="250">
        <f>Довідник!M$138*(100+Довідник!$C$144)/100</f>
        <v>1650</v>
      </c>
      <c r="N19" s="433">
        <f t="shared" si="3"/>
        <v>19800</v>
      </c>
    </row>
    <row r="20" spans="1:14" ht="28.8" x14ac:dyDescent="0.3">
      <c r="A20" s="257" t="str">
        <f>Довідник!A$139</f>
        <v>Офісні витрати (канцелярскі товари, зв`язок, тощо)</v>
      </c>
      <c r="B20" s="250">
        <f>Довідник!B$139*(100+Довідник!$C$144)/100</f>
        <v>1100</v>
      </c>
      <c r="C20" s="250">
        <f>Довідник!C$139*(100+Довідник!$C$144)/100</f>
        <v>1100</v>
      </c>
      <c r="D20" s="250">
        <f>Довідник!D$139*(100+Довідник!$C$144)/100</f>
        <v>1100</v>
      </c>
      <c r="E20" s="250">
        <f>Довідник!E$139*(100+Довідник!$C$144)/100</f>
        <v>1100</v>
      </c>
      <c r="F20" s="250">
        <f>Довідник!F$139*(100+Довідник!$C$144)/100</f>
        <v>1100</v>
      </c>
      <c r="G20" s="250">
        <f>Довідник!G$139*(100+Довідник!$C$144)/100</f>
        <v>1100</v>
      </c>
      <c r="H20" s="250">
        <f>Довідник!H$139*(100+Довідник!$C$144)/100</f>
        <v>1100</v>
      </c>
      <c r="I20" s="250">
        <f>Довідник!I$139*(100+Довідник!$C$144)/100</f>
        <v>1100</v>
      </c>
      <c r="J20" s="250">
        <f>Довідник!J$139*(100+Довідник!$C$144)/100</f>
        <v>1100</v>
      </c>
      <c r="K20" s="250">
        <f>Довідник!K$139*(100+Довідник!$C$144)/100</f>
        <v>1100</v>
      </c>
      <c r="L20" s="250">
        <f>Довідник!L$139*(100+Довідник!$C$144)/100</f>
        <v>1100</v>
      </c>
      <c r="M20" s="250">
        <f>Довідник!M$139*(100+Довідник!$C$144)/100</f>
        <v>1100</v>
      </c>
      <c r="N20" s="433">
        <f t="shared" si="3"/>
        <v>13200</v>
      </c>
    </row>
    <row r="21" spans="1:14" x14ac:dyDescent="0.3">
      <c r="A21" s="257" t="str">
        <f>Довідник!A$140</f>
        <v>Сплата орендних платежів</v>
      </c>
      <c r="B21" s="250">
        <f>Довідник!B$140*(100+Довідник!$C$144)/100</f>
        <v>1100</v>
      </c>
      <c r="C21" s="250">
        <f>Довідник!C$140*(100+Довідник!$C$144)/100</f>
        <v>1100</v>
      </c>
      <c r="D21" s="250">
        <f>Довідник!D$140*(100+Довідник!$C$144)/100</f>
        <v>1100</v>
      </c>
      <c r="E21" s="250">
        <f>Довідник!E$140*(100+Довідник!$C$144)/100</f>
        <v>1100</v>
      </c>
      <c r="F21" s="250">
        <f>Довідник!F$140*(100+Довідник!$C$144)/100</f>
        <v>1100</v>
      </c>
      <c r="G21" s="250">
        <f>Довідник!G$140*(100+Довідник!$C$144)/100</f>
        <v>1100</v>
      </c>
      <c r="H21" s="250">
        <f>Довідник!H$140*(100+Довідник!$C$144)/100</f>
        <v>1100</v>
      </c>
      <c r="I21" s="250">
        <f>Довідник!I$140*(100+Довідник!$C$144)/100</f>
        <v>1100</v>
      </c>
      <c r="J21" s="250">
        <f>Довідник!J$140*(100+Довідник!$C$144)/100</f>
        <v>1100</v>
      </c>
      <c r="K21" s="250">
        <f>Довідник!K$140*(100+Довідник!$C$144)/100</f>
        <v>1100</v>
      </c>
      <c r="L21" s="250">
        <f>Довідник!L$140*(100+Довідник!$C$144)/100</f>
        <v>1100</v>
      </c>
      <c r="M21" s="250">
        <f>Довідник!M$140*(100+Довідник!$C$144)/100</f>
        <v>1100</v>
      </c>
      <c r="N21" s="433">
        <f t="shared" si="3"/>
        <v>13200</v>
      </c>
    </row>
    <row r="22" spans="1:14" x14ac:dyDescent="0.3">
      <c r="A22" s="257" t="str">
        <f>Довідник!A$141</f>
        <v xml:space="preserve">Витрати на банківські послуги </v>
      </c>
      <c r="B22" s="250">
        <f>Довідник!B$141*(100+Довідник!$C$144)/100</f>
        <v>275</v>
      </c>
      <c r="C22" s="250">
        <f>Довідник!C$141*(100+Довідник!$C$144)/100</f>
        <v>275</v>
      </c>
      <c r="D22" s="250">
        <f>Довідник!D$141*(100+Довідник!$C$144)/100</f>
        <v>275</v>
      </c>
      <c r="E22" s="250">
        <f>Довідник!E$141*(100+Довідник!$C$144)/100</f>
        <v>275</v>
      </c>
      <c r="F22" s="250">
        <f>Довідник!F$141*(100+Довідник!$C$144)/100</f>
        <v>275</v>
      </c>
      <c r="G22" s="250">
        <f>Довідник!G$141*(100+Довідник!$C$144)/100</f>
        <v>275</v>
      </c>
      <c r="H22" s="250">
        <f>Довідник!H$141*(100+Довідник!$C$144)/100</f>
        <v>275</v>
      </c>
      <c r="I22" s="250">
        <f>Довідник!I$141*(100+Довідник!$C$144)/100</f>
        <v>275</v>
      </c>
      <c r="J22" s="250">
        <f>Довідник!J$141*(100+Довідник!$C$144)/100</f>
        <v>275</v>
      </c>
      <c r="K22" s="250">
        <f>Довідник!K$141*(100+Довідник!$C$144)/100</f>
        <v>275</v>
      </c>
      <c r="L22" s="250">
        <f>Довідник!L$141*(100+Довідник!$C$144)/100</f>
        <v>275</v>
      </c>
      <c r="M22" s="250">
        <f>Довідник!M$141*(100+Довідник!$C$144)/100</f>
        <v>275</v>
      </c>
      <c r="N22" s="433">
        <f t="shared" si="3"/>
        <v>3300</v>
      </c>
    </row>
    <row r="23" spans="1:14" ht="29.4" thickBot="1" x14ac:dyDescent="0.35">
      <c r="A23" s="259" t="str">
        <f>Довідник!A$142</f>
        <v>Витрати на ремонт та обслуговування обладнання</v>
      </c>
      <c r="B23" s="434">
        <f>Довідник!B$142*(100+Довідник!$C$144)/100</f>
        <v>2200</v>
      </c>
      <c r="C23" s="434">
        <f>Довідник!C$142*(100+Довідник!$C$144)/100</f>
        <v>2200</v>
      </c>
      <c r="D23" s="434">
        <f>Довідник!D$142*(100+Довідник!$C$144)/100</f>
        <v>2200</v>
      </c>
      <c r="E23" s="434">
        <f>Довідник!E$142*(100+Довідник!$C$144)/100</f>
        <v>2200</v>
      </c>
      <c r="F23" s="434">
        <f>Довідник!F$142*(100+Довідник!$C$144)/100</f>
        <v>2200</v>
      </c>
      <c r="G23" s="434">
        <f>Довідник!G$142*(100+Довідник!$C$144)/100</f>
        <v>2200</v>
      </c>
      <c r="H23" s="434">
        <f>Довідник!H$142*(100+Довідник!$C$144)/100</f>
        <v>2200</v>
      </c>
      <c r="I23" s="434">
        <f>Довідник!I$142*(100+Довідник!$C$144)/100</f>
        <v>2200</v>
      </c>
      <c r="J23" s="434">
        <f>Довідник!J$142*(100+Довідник!$C$144)/100</f>
        <v>2200</v>
      </c>
      <c r="K23" s="434">
        <f>Довідник!K$142*(100+Довідник!$C$144)/100</f>
        <v>2200</v>
      </c>
      <c r="L23" s="434">
        <f>Довідник!L$142*(100+Довідник!$C$144)/100</f>
        <v>2200</v>
      </c>
      <c r="M23" s="434">
        <f>Довідник!M$142*(100+Довідник!$C$144)/100</f>
        <v>2200</v>
      </c>
      <c r="N23" s="435">
        <f t="shared" si="3"/>
        <v>26400</v>
      </c>
    </row>
    <row r="24" spans="1:14" ht="15" thickBot="1" x14ac:dyDescent="0.35">
      <c r="A24" s="262" t="s">
        <v>312</v>
      </c>
      <c r="B24" s="263">
        <f t="shared" ref="B24:M24" si="4">SUM(B17:B23)</f>
        <v>8525</v>
      </c>
      <c r="C24" s="263">
        <f t="shared" si="4"/>
        <v>8525</v>
      </c>
      <c r="D24" s="263">
        <f t="shared" si="4"/>
        <v>8525</v>
      </c>
      <c r="E24" s="263">
        <f t="shared" si="4"/>
        <v>8525</v>
      </c>
      <c r="F24" s="263">
        <f t="shared" si="4"/>
        <v>8525</v>
      </c>
      <c r="G24" s="263">
        <f t="shared" si="4"/>
        <v>8525</v>
      </c>
      <c r="H24" s="263">
        <f t="shared" si="4"/>
        <v>8525</v>
      </c>
      <c r="I24" s="263">
        <f t="shared" si="4"/>
        <v>8525</v>
      </c>
      <c r="J24" s="263">
        <f t="shared" si="4"/>
        <v>8525</v>
      </c>
      <c r="K24" s="263">
        <f t="shared" si="4"/>
        <v>8525</v>
      </c>
      <c r="L24" s="263">
        <f t="shared" si="4"/>
        <v>8525</v>
      </c>
      <c r="M24" s="263">
        <f t="shared" si="4"/>
        <v>8525</v>
      </c>
      <c r="N24" s="264">
        <f t="shared" si="3"/>
        <v>102300</v>
      </c>
    </row>
    <row r="27" spans="1:14" ht="15" customHeight="1" thickBot="1" x14ac:dyDescent="0.35">
      <c r="A27" s="526" t="s">
        <v>313</v>
      </c>
      <c r="B27" s="526"/>
      <c r="C27" s="526"/>
      <c r="D27" s="526"/>
      <c r="E27" s="526"/>
      <c r="F27" s="526"/>
      <c r="G27" s="526"/>
      <c r="H27" s="526"/>
      <c r="I27" s="526"/>
      <c r="J27" s="526"/>
      <c r="K27" s="526"/>
      <c r="L27" s="526"/>
      <c r="M27" s="526"/>
      <c r="N27" s="526"/>
    </row>
    <row r="28" spans="1:14" x14ac:dyDescent="0.3">
      <c r="A28" s="521" t="s">
        <v>105</v>
      </c>
      <c r="B28" s="523" t="s">
        <v>33</v>
      </c>
      <c r="C28" s="523"/>
      <c r="D28" s="523"/>
      <c r="E28" s="523"/>
      <c r="F28" s="523"/>
      <c r="G28" s="523"/>
      <c r="H28" s="523"/>
      <c r="I28" s="523"/>
      <c r="J28" s="523"/>
      <c r="K28" s="523"/>
      <c r="L28" s="523"/>
      <c r="M28" s="523"/>
      <c r="N28" s="524" t="s">
        <v>63</v>
      </c>
    </row>
    <row r="29" spans="1:14" ht="15" thickBot="1" x14ac:dyDescent="0.35">
      <c r="A29" s="528"/>
      <c r="B29" s="294" t="s">
        <v>34</v>
      </c>
      <c r="C29" s="294" t="s">
        <v>35</v>
      </c>
      <c r="D29" s="294" t="s">
        <v>36</v>
      </c>
      <c r="E29" s="294" t="s">
        <v>37</v>
      </c>
      <c r="F29" s="294" t="s">
        <v>38</v>
      </c>
      <c r="G29" s="294" t="s">
        <v>39</v>
      </c>
      <c r="H29" s="294" t="s">
        <v>40</v>
      </c>
      <c r="I29" s="294" t="s">
        <v>41</v>
      </c>
      <c r="J29" s="294" t="s">
        <v>42</v>
      </c>
      <c r="K29" s="294" t="s">
        <v>43</v>
      </c>
      <c r="L29" s="294" t="s">
        <v>44</v>
      </c>
      <c r="M29" s="294" t="s">
        <v>45</v>
      </c>
      <c r="N29" s="529"/>
    </row>
    <row r="30" spans="1:14" ht="28.8" x14ac:dyDescent="0.3">
      <c r="A30" s="254" t="str">
        <f>Довідник!A$136</f>
        <v>Проведення аналізів якості сировини та продукції</v>
      </c>
      <c r="B30" s="432">
        <f>Довідник!B$136*((100+Довідник!$C$144*2))/100</f>
        <v>1200</v>
      </c>
      <c r="C30" s="432">
        <f>Довідник!C$136*((100+Довідник!$C$144*2))/100</f>
        <v>1200</v>
      </c>
      <c r="D30" s="432">
        <f>Довідник!D$136*((100+Довідник!$C$144*2))/100</f>
        <v>1200</v>
      </c>
      <c r="E30" s="432">
        <f>Довідник!E$136*((100+Довідник!$C$144*2))/100</f>
        <v>1200</v>
      </c>
      <c r="F30" s="432">
        <f>Довідник!F$136*((100+Довідник!$C$144*2))/100</f>
        <v>1200</v>
      </c>
      <c r="G30" s="432">
        <f>Довідник!G$136*((100+Довідник!$C$144*2))/100</f>
        <v>1200</v>
      </c>
      <c r="H30" s="432">
        <f>Довідник!H$136*((100+Довідник!$C$144*2))/100</f>
        <v>1200</v>
      </c>
      <c r="I30" s="432">
        <f>Довідник!I$136*((100+Довідник!$C$144*2))/100</f>
        <v>1200</v>
      </c>
      <c r="J30" s="432">
        <f>Довідник!J$136*((100+Довідник!$C$144*2))/100</f>
        <v>1200</v>
      </c>
      <c r="K30" s="432">
        <f>Довідник!K$136*((100+Довідник!$C$144*2))/100</f>
        <v>1200</v>
      </c>
      <c r="L30" s="432">
        <f>Довідник!L$136*((100+Довідник!$C$144*2))/100</f>
        <v>1200</v>
      </c>
      <c r="M30" s="432">
        <f>Довідник!M$136*((100+Довідник!$C$144*2))/100</f>
        <v>1200</v>
      </c>
      <c r="N30" s="256">
        <f>SUM(B30:M30)</f>
        <v>14400</v>
      </c>
    </row>
    <row r="31" spans="1:14" ht="28.8" x14ac:dyDescent="0.3">
      <c r="A31" s="257" t="str">
        <f>Довідник!A$137</f>
        <v>Отримання довідок, дозволів тощо</v>
      </c>
      <c r="B31" s="250">
        <f>Довідник!B$137*((100+Довідник!$C$144*2))/100</f>
        <v>1200</v>
      </c>
      <c r="C31" s="250">
        <f>Довідник!C$137*((100+Довідник!$C$144*2))/100</f>
        <v>1200</v>
      </c>
      <c r="D31" s="250">
        <f>Довідник!D$137*((100+Довідник!$C$144*2))/100</f>
        <v>1200</v>
      </c>
      <c r="E31" s="250">
        <f>Довідник!E$137*((100+Довідник!$C$144*2))/100</f>
        <v>1200</v>
      </c>
      <c r="F31" s="250">
        <f>Довідник!F$137*((100+Довідник!$C$144*2))/100</f>
        <v>1200</v>
      </c>
      <c r="G31" s="250">
        <f>Довідник!G$137*((100+Довідник!$C$144*2))/100</f>
        <v>1200</v>
      </c>
      <c r="H31" s="250">
        <f>Довідник!H$137*((100+Довідник!$C$144*2))/100</f>
        <v>1200</v>
      </c>
      <c r="I31" s="250">
        <f>Довідник!I$137*((100+Довідник!$C$144*2))/100</f>
        <v>1200</v>
      </c>
      <c r="J31" s="250">
        <f>Довідник!J$137*((100+Довідник!$C$144*2))/100</f>
        <v>1200</v>
      </c>
      <c r="K31" s="250">
        <f>Довідник!K$137*((100+Довідник!$C$144*2))/100</f>
        <v>1200</v>
      </c>
      <c r="L31" s="250">
        <f>Довідник!L$137*((100+Довідник!$C$144*2))/100</f>
        <v>1200</v>
      </c>
      <c r="M31" s="250">
        <f>Довідник!M$137*((100+Довідник!$C$144*2))/100</f>
        <v>1200</v>
      </c>
      <c r="N31" s="433">
        <f t="shared" ref="N31:N37" si="5">SUM(B31:M31)</f>
        <v>14400</v>
      </c>
    </row>
    <row r="32" spans="1:14" ht="43.2" x14ac:dyDescent="0.3">
      <c r="A32" s="257" t="str">
        <f>Довідник!A$138</f>
        <v>Придбання миючих засобів, спецодягу, господарського інвентарю</v>
      </c>
      <c r="B32" s="250">
        <f>Довідник!B$138*((100+Довідник!$C$144*2))/100</f>
        <v>1800</v>
      </c>
      <c r="C32" s="250">
        <f>Довідник!C$138*((100+Довідник!$C$144*2))/100</f>
        <v>1800</v>
      </c>
      <c r="D32" s="250">
        <f>Довідник!D$138*((100+Довідник!$C$144*2))/100</f>
        <v>1800</v>
      </c>
      <c r="E32" s="250">
        <f>Довідник!E$138*((100+Довідник!$C$144*2))/100</f>
        <v>1800</v>
      </c>
      <c r="F32" s="250">
        <f>Довідник!F$138*((100+Довідник!$C$144*2))/100</f>
        <v>1800</v>
      </c>
      <c r="G32" s="250">
        <f>Довідник!G$138*((100+Довідник!$C$144*2))/100</f>
        <v>1800</v>
      </c>
      <c r="H32" s="250">
        <f>Довідник!H$138*((100+Довідник!$C$144*2))/100</f>
        <v>1800</v>
      </c>
      <c r="I32" s="250">
        <f>Довідник!I$138*((100+Довідник!$C$144*2))/100</f>
        <v>1800</v>
      </c>
      <c r="J32" s="250">
        <f>Довідник!J$138*((100+Довідник!$C$144*2))/100</f>
        <v>1800</v>
      </c>
      <c r="K32" s="250">
        <f>Довідник!K$138*((100+Довідник!$C$144*2))/100</f>
        <v>1800</v>
      </c>
      <c r="L32" s="250">
        <f>Довідник!L$138*((100+Довідник!$C$144*2))/100</f>
        <v>1800</v>
      </c>
      <c r="M32" s="250">
        <f>Довідник!M$138*((100+Довідник!$C$144*2))/100</f>
        <v>1800</v>
      </c>
      <c r="N32" s="433">
        <f t="shared" si="5"/>
        <v>21600</v>
      </c>
    </row>
    <row r="33" spans="1:14" ht="28.8" x14ac:dyDescent="0.3">
      <c r="A33" s="257" t="str">
        <f>Довідник!A$139</f>
        <v>Офісні витрати (канцелярскі товари, зв`язок, тощо)</v>
      </c>
      <c r="B33" s="250">
        <f>Довідник!B$139*((100+Довідник!$C$144*2))/100</f>
        <v>1200</v>
      </c>
      <c r="C33" s="250">
        <f>Довідник!C$139*((100+Довідник!$C$144*2))/100</f>
        <v>1200</v>
      </c>
      <c r="D33" s="250">
        <f>Довідник!D$139*((100+Довідник!$C$144*2))/100</f>
        <v>1200</v>
      </c>
      <c r="E33" s="250">
        <f>Довідник!E$139*((100+Довідник!$C$144*2))/100</f>
        <v>1200</v>
      </c>
      <c r="F33" s="250">
        <f>Довідник!F$139*((100+Довідник!$C$144*2))/100</f>
        <v>1200</v>
      </c>
      <c r="G33" s="250">
        <f>Довідник!G$139*((100+Довідник!$C$144*2))/100</f>
        <v>1200</v>
      </c>
      <c r="H33" s="250">
        <f>Довідник!H$139*((100+Довідник!$C$144*2))/100</f>
        <v>1200</v>
      </c>
      <c r="I33" s="250">
        <f>Довідник!I$139*((100+Довідник!$C$144*2))/100</f>
        <v>1200</v>
      </c>
      <c r="J33" s="250">
        <f>Довідник!J$139*((100+Довідник!$C$144*2))/100</f>
        <v>1200</v>
      </c>
      <c r="K33" s="250">
        <f>Довідник!K$139*((100+Довідник!$C$144*2))/100</f>
        <v>1200</v>
      </c>
      <c r="L33" s="250">
        <f>Довідник!L$139*((100+Довідник!$C$144*2))/100</f>
        <v>1200</v>
      </c>
      <c r="M33" s="250">
        <f>Довідник!M$139*((100+Довідник!$C$144*2))/100</f>
        <v>1200</v>
      </c>
      <c r="N33" s="433">
        <f t="shared" si="5"/>
        <v>14400</v>
      </c>
    </row>
    <row r="34" spans="1:14" x14ac:dyDescent="0.3">
      <c r="A34" s="257" t="str">
        <f>Довідник!A$140</f>
        <v>Сплата орендних платежів</v>
      </c>
      <c r="B34" s="250">
        <f>Довідник!B$140*((100+Довідник!$C$144*2))/100</f>
        <v>1200</v>
      </c>
      <c r="C34" s="250">
        <f>Довідник!C$140*((100+Довідник!$C$144*2))/100</f>
        <v>1200</v>
      </c>
      <c r="D34" s="250">
        <f>Довідник!D$140*((100+Довідник!$C$144*2))/100</f>
        <v>1200</v>
      </c>
      <c r="E34" s="250">
        <f>Довідник!E$140*((100+Довідник!$C$144*2))/100</f>
        <v>1200</v>
      </c>
      <c r="F34" s="250">
        <f>Довідник!F$140*((100+Довідник!$C$144*2))/100</f>
        <v>1200</v>
      </c>
      <c r="G34" s="250">
        <f>Довідник!G$140*((100+Довідник!$C$144*2))/100</f>
        <v>1200</v>
      </c>
      <c r="H34" s="250">
        <f>Довідник!H$140*((100+Довідник!$C$144*2))/100</f>
        <v>1200</v>
      </c>
      <c r="I34" s="250">
        <f>Довідник!I$140*((100+Довідник!$C$144*2))/100</f>
        <v>1200</v>
      </c>
      <c r="J34" s="250">
        <f>Довідник!J$140*((100+Довідник!$C$144*2))/100</f>
        <v>1200</v>
      </c>
      <c r="K34" s="250">
        <f>Довідник!K$140*((100+Довідник!$C$144*2))/100</f>
        <v>1200</v>
      </c>
      <c r="L34" s="250">
        <f>Довідник!L$140*((100+Довідник!$C$144*2))/100</f>
        <v>1200</v>
      </c>
      <c r="M34" s="250">
        <f>Довідник!M$140*((100+Довідник!$C$144*2))/100</f>
        <v>1200</v>
      </c>
      <c r="N34" s="433">
        <f t="shared" si="5"/>
        <v>14400</v>
      </c>
    </row>
    <row r="35" spans="1:14" x14ac:dyDescent="0.3">
      <c r="A35" s="257" t="str">
        <f>Довідник!A$141</f>
        <v xml:space="preserve">Витрати на банківські послуги </v>
      </c>
      <c r="B35" s="250">
        <f>Довідник!B$141*((100+Довідник!$C$144*2))/100</f>
        <v>300</v>
      </c>
      <c r="C35" s="250">
        <f>Довідник!C$141*((100+Довідник!$C$144*2))/100</f>
        <v>300</v>
      </c>
      <c r="D35" s="250">
        <f>Довідник!D$141*((100+Довідник!$C$144*2))/100</f>
        <v>300</v>
      </c>
      <c r="E35" s="250">
        <f>Довідник!E$141*((100+Довідник!$C$144*2))/100</f>
        <v>300</v>
      </c>
      <c r="F35" s="250">
        <f>Довідник!F$141*((100+Довідник!$C$144*2))/100</f>
        <v>300</v>
      </c>
      <c r="G35" s="250">
        <f>Довідник!G$141*((100+Довідник!$C$144*2))/100</f>
        <v>300</v>
      </c>
      <c r="H35" s="250">
        <f>Довідник!H$141*((100+Довідник!$C$144*2))/100</f>
        <v>300</v>
      </c>
      <c r="I35" s="250">
        <f>Довідник!I$141*((100+Довідник!$C$144*2))/100</f>
        <v>300</v>
      </c>
      <c r="J35" s="250">
        <f>Довідник!J$141*((100+Довідник!$C$144*2))/100</f>
        <v>300</v>
      </c>
      <c r="K35" s="250">
        <f>Довідник!K$141*((100+Довідник!$C$144*2))/100</f>
        <v>300</v>
      </c>
      <c r="L35" s="250">
        <f>Довідник!L$141*((100+Довідник!$C$144*2))/100</f>
        <v>300</v>
      </c>
      <c r="M35" s="250">
        <f>Довідник!M$141*((100+Довідник!$C$144*2))/100</f>
        <v>300</v>
      </c>
      <c r="N35" s="433">
        <f t="shared" si="5"/>
        <v>3600</v>
      </c>
    </row>
    <row r="36" spans="1:14" ht="29.4" thickBot="1" x14ac:dyDescent="0.35">
      <c r="A36" s="259" t="str">
        <f>Довідник!A$142</f>
        <v>Витрати на ремонт та обслуговування обладнання</v>
      </c>
      <c r="B36" s="434">
        <f>Довідник!B$142*((100+Довідник!$C$144*2))/100</f>
        <v>2400</v>
      </c>
      <c r="C36" s="434">
        <f>Довідник!C$142*((100+Довідник!$C$144*2))/100</f>
        <v>2400</v>
      </c>
      <c r="D36" s="434">
        <f>Довідник!D$142*((100+Довідник!$C$144*2))/100</f>
        <v>2400</v>
      </c>
      <c r="E36" s="434">
        <f>Довідник!E$142*((100+Довідник!$C$144*2))/100</f>
        <v>2400</v>
      </c>
      <c r="F36" s="434">
        <f>Довідник!F$142*((100+Довідник!$C$144*2))/100</f>
        <v>2400</v>
      </c>
      <c r="G36" s="434">
        <f>Довідник!G$142*((100+Довідник!$C$144*2))/100</f>
        <v>2400</v>
      </c>
      <c r="H36" s="434">
        <f>Довідник!H$142*((100+Довідник!$C$144*2))/100</f>
        <v>2400</v>
      </c>
      <c r="I36" s="434">
        <f>Довідник!I$142*((100+Довідник!$C$144*2))/100</f>
        <v>2400</v>
      </c>
      <c r="J36" s="434">
        <f>Довідник!J$142*((100+Довідник!$C$144*2))/100</f>
        <v>2400</v>
      </c>
      <c r="K36" s="434">
        <f>Довідник!K$142*((100+Довідник!$C$144*2))/100</f>
        <v>2400</v>
      </c>
      <c r="L36" s="434">
        <f>Довідник!L$142*((100+Довідник!$C$144*2))/100</f>
        <v>2400</v>
      </c>
      <c r="M36" s="434">
        <f>Довідник!M$142*((100+Довідник!$C$144*2))/100</f>
        <v>2400</v>
      </c>
      <c r="N36" s="435">
        <f t="shared" si="5"/>
        <v>28800</v>
      </c>
    </row>
    <row r="37" spans="1:14" ht="15" thickBot="1" x14ac:dyDescent="0.35">
      <c r="A37" s="262" t="s">
        <v>312</v>
      </c>
      <c r="B37" s="263">
        <f t="shared" ref="B37:M37" si="6">SUM(B30:B36)</f>
        <v>9300</v>
      </c>
      <c r="C37" s="263">
        <f t="shared" si="6"/>
        <v>9300</v>
      </c>
      <c r="D37" s="263">
        <f t="shared" si="6"/>
        <v>9300</v>
      </c>
      <c r="E37" s="263">
        <f t="shared" si="6"/>
        <v>9300</v>
      </c>
      <c r="F37" s="263">
        <f t="shared" si="6"/>
        <v>9300</v>
      </c>
      <c r="G37" s="263">
        <f t="shared" si="6"/>
        <v>9300</v>
      </c>
      <c r="H37" s="263">
        <f t="shared" si="6"/>
        <v>9300</v>
      </c>
      <c r="I37" s="263">
        <f t="shared" si="6"/>
        <v>9300</v>
      </c>
      <c r="J37" s="263">
        <f t="shared" si="6"/>
        <v>9300</v>
      </c>
      <c r="K37" s="263">
        <f t="shared" si="6"/>
        <v>9300</v>
      </c>
      <c r="L37" s="263">
        <f t="shared" si="6"/>
        <v>9300</v>
      </c>
      <c r="M37" s="263">
        <f t="shared" si="6"/>
        <v>9300</v>
      </c>
      <c r="N37" s="264">
        <f t="shared" si="5"/>
        <v>111600</v>
      </c>
    </row>
  </sheetData>
  <sheetProtection algorithmName="SHA-512" hashValue="pS3txSn8Sou3T7gvorMiLhAbFdWLvNL6WMFPK6yyw7QmtnRc1+StnJ81C4YUR/GFDN8vJ6VVSOfHx9MPR9LTLQ==" saltValue="T7wvTuxTxB0cX3MrGrf8Gw==" spinCount="100000" sheet="1" objects="1" scenarios="1"/>
  <mergeCells count="15">
    <mergeCell ref="A1:N1"/>
    <mergeCell ref="A14:N14"/>
    <mergeCell ref="A27:N27"/>
    <mergeCell ref="Q2:R2"/>
    <mergeCell ref="Q3:U4"/>
    <mergeCell ref="Q5:U9"/>
    <mergeCell ref="A28:A29"/>
    <mergeCell ref="B28:M28"/>
    <mergeCell ref="N28:N29"/>
    <mergeCell ref="A2:A3"/>
    <mergeCell ref="B2:M2"/>
    <mergeCell ref="N2:N3"/>
    <mergeCell ref="A15:A16"/>
    <mergeCell ref="B15:M15"/>
    <mergeCell ref="N15:N1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F0"/>
  </sheetPr>
  <dimension ref="A1:N87"/>
  <sheetViews>
    <sheetView showZeros="0" workbookViewId="0">
      <selection activeCell="O18" sqref="O18"/>
    </sheetView>
  </sheetViews>
  <sheetFormatPr defaultColWidth="8.88671875" defaultRowHeight="14.4" x14ac:dyDescent="0.3"/>
  <cols>
    <col min="1" max="1" width="8.33203125" style="247" customWidth="1"/>
    <col min="2" max="2" width="41.33203125" style="225" customWidth="1"/>
    <col min="3" max="3" width="11.33203125" style="247" customWidth="1"/>
    <col min="4" max="4" width="14.33203125" style="248" customWidth="1"/>
    <col min="5" max="5" width="12.6640625" style="248" customWidth="1"/>
    <col min="6" max="6" width="15.88671875" style="225" customWidth="1"/>
    <col min="7" max="16384" width="8.88671875" style="225"/>
  </cols>
  <sheetData>
    <row r="1" spans="1:14" ht="15" thickBot="1" x14ac:dyDescent="0.35">
      <c r="A1" s="530" t="s">
        <v>314</v>
      </c>
      <c r="B1" s="530"/>
      <c r="C1" s="530"/>
      <c r="D1" s="530"/>
      <c r="E1" s="530"/>
      <c r="F1" s="530"/>
    </row>
    <row r="2" spans="1:14" s="231" customFormat="1" ht="75" customHeight="1" thickBot="1" x14ac:dyDescent="0.35">
      <c r="A2" s="226" t="s">
        <v>121</v>
      </c>
      <c r="B2" s="227" t="s">
        <v>122</v>
      </c>
      <c r="C2" s="228" t="s">
        <v>123</v>
      </c>
      <c r="D2" s="229" t="s">
        <v>315</v>
      </c>
      <c r="E2" s="229" t="s">
        <v>316</v>
      </c>
      <c r="F2" s="230" t="s">
        <v>317</v>
      </c>
      <c r="I2" s="481" t="s">
        <v>127</v>
      </c>
      <c r="J2" s="481"/>
      <c r="K2" s="426"/>
      <c r="L2" s="426"/>
      <c r="M2" s="426"/>
      <c r="N2" s="426"/>
    </row>
    <row r="3" spans="1:14" s="236" customFormat="1" ht="14.4" customHeight="1" x14ac:dyDescent="0.3">
      <c r="A3" s="232"/>
      <c r="B3" s="232" t="str">
        <f>Інвестиції[[#This Row],[Назва обладнання]]</f>
        <v>БЛОК ЛАБОРАТОРНИЙ</v>
      </c>
      <c r="C3" s="233">
        <f>Інвестиції[[#This Row],[Кількість, шт]]</f>
        <v>0</v>
      </c>
      <c r="D3" s="234"/>
      <c r="E3" s="234"/>
      <c r="F3" s="235"/>
      <c r="I3" s="499" t="s">
        <v>318</v>
      </c>
      <c r="J3" s="499"/>
      <c r="K3" s="499"/>
      <c r="L3" s="499"/>
      <c r="M3" s="499"/>
      <c r="N3" s="499"/>
    </row>
    <row r="4" spans="1:14" x14ac:dyDescent="0.3">
      <c r="A4" s="237">
        <f>Інвестиції!A4</f>
        <v>1</v>
      </c>
      <c r="B4" s="237" t="str">
        <f>Інвестиції[[#This Row],[Назва обладнання]]</f>
        <v>EKOMILK стандарт –аналізаторякості молока</v>
      </c>
      <c r="C4" s="238">
        <f>Інвестиції[[#This Row],[Кількість, шт]]</f>
        <v>1</v>
      </c>
      <c r="D4" s="239">
        <f>Інвестиції[[#This Row],[Вартість одиниці з ПДВ, грн.]]*0.83333</f>
        <v>31666.54</v>
      </c>
      <c r="E4" s="239">
        <f>Таблица3[[#This Row],[Кількість, шт]]*Таблица3[[#This Row],[Вартість одиниці без ПДВ, грн.]]</f>
        <v>31666.54</v>
      </c>
      <c r="F4" s="235">
        <f>Таблица3[[#This Row],[Загальна вартість без ПДВ, грн.]]/Інвестиції[[#This Row],[Доцільний термін експлуатації, років]]</f>
        <v>6333.308</v>
      </c>
      <c r="I4" s="499"/>
      <c r="J4" s="499"/>
      <c r="K4" s="499"/>
      <c r="L4" s="499"/>
      <c r="M4" s="499"/>
      <c r="N4" s="499"/>
    </row>
    <row r="5" spans="1:14" x14ac:dyDescent="0.3">
      <c r="A5" s="237">
        <f>Інвестиції!A5</f>
        <v>2</v>
      </c>
      <c r="B5" s="237" t="str">
        <f>Інвестиції[[#This Row],[Назва обладнання]]</f>
        <v>PH-метр</v>
      </c>
      <c r="C5" s="238">
        <f>Інвестиції[[#This Row],[Кількість, шт]]</f>
        <v>1</v>
      </c>
      <c r="D5" s="239">
        <f>Інвестиції[[#This Row],[Вартість одиниці з ПДВ, грн.]]*0.83333</f>
        <v>9166.630000000001</v>
      </c>
      <c r="E5" s="239">
        <f>Таблица3[[#This Row],[Кількість, шт]]*Таблица3[[#This Row],[Вартість одиниці без ПДВ, грн.]]</f>
        <v>9166.630000000001</v>
      </c>
      <c r="F5" s="235">
        <f>Таблица3[[#This Row],[Загальна вартість без ПДВ, грн.]]/Інвестиції[[#This Row],[Доцільний термін експлуатації, років]]</f>
        <v>1833.3260000000002</v>
      </c>
      <c r="I5" s="427"/>
      <c r="J5" s="427"/>
      <c r="K5" s="427"/>
      <c r="L5" s="427"/>
      <c r="M5" s="427"/>
      <c r="N5" s="427"/>
    </row>
    <row r="6" spans="1:14" x14ac:dyDescent="0.3">
      <c r="A6" s="237">
        <f>Інвестиції!A6</f>
        <v>3</v>
      </c>
      <c r="B6" s="237" t="str">
        <f>Інвестиції[[#This Row],[Назва обладнання]]</f>
        <v>Холодильник для інградієнтів</v>
      </c>
      <c r="C6" s="238">
        <f>Інвестиції[[#This Row],[Кількість, шт]]</f>
        <v>1</v>
      </c>
      <c r="D6" s="239">
        <f>Інвестиції[[#This Row],[Вартість одиниці з ПДВ, грн.]]*0.83333</f>
        <v>9999.9600000000009</v>
      </c>
      <c r="E6" s="239">
        <f>Таблица3[[#This Row],[Кількість, шт]]*Таблица3[[#This Row],[Вартість одиниці без ПДВ, грн.]]</f>
        <v>9999.9600000000009</v>
      </c>
      <c r="F6" s="235">
        <f>Таблица3[[#This Row],[Загальна вартість без ПДВ, грн.]]/Інвестиції[[#This Row],[Доцільний термін експлуатації, років]]</f>
        <v>1999.9920000000002</v>
      </c>
      <c r="I6" s="494" t="s">
        <v>405</v>
      </c>
      <c r="J6" s="501"/>
      <c r="K6" s="501"/>
      <c r="L6" s="501"/>
      <c r="M6" s="501"/>
      <c r="N6" s="501"/>
    </row>
    <row r="7" spans="1:14" s="236" customFormat="1" x14ac:dyDescent="0.3">
      <c r="A7" s="240"/>
      <c r="B7" s="240" t="str">
        <f>Інвестиції[[#This Row],[Назва обладнання]]</f>
        <v>ВІДДІЛЕННЯ ПРИЙМАННЯ І ЗБЕРІГАННЯ МОЛОКА</v>
      </c>
      <c r="C7" s="238">
        <f>Інвестиції[[#This Row],[Кількість, шт]]</f>
        <v>0</v>
      </c>
      <c r="D7" s="239">
        <f>Інвестиції[[#This Row],[Вартість одиниці з ПДВ, грн.]]*0.83333</f>
        <v>0</v>
      </c>
      <c r="E7" s="239">
        <f>Таблица3[[#This Row],[Кількість, шт]]*Таблица3[[#This Row],[Вартість одиниці без ПДВ, грн.]]</f>
        <v>0</v>
      </c>
      <c r="F7" s="235"/>
      <c r="I7" s="501"/>
      <c r="J7" s="501"/>
      <c r="K7" s="501"/>
      <c r="L7" s="501"/>
      <c r="M7" s="501"/>
      <c r="N7" s="501"/>
    </row>
    <row r="8" spans="1:14" x14ac:dyDescent="0.3">
      <c r="A8" s="237">
        <f>Інвестиції!A8</f>
        <v>4</v>
      </c>
      <c r="B8" s="237" t="str">
        <f>Інвестиції[[#This Row],[Назва обладнання]]</f>
        <v>Насос відцентровий НЦХ</v>
      </c>
      <c r="C8" s="238">
        <f>Інвестиції[[#This Row],[Кількість, шт]]</f>
        <v>3</v>
      </c>
      <c r="D8" s="239">
        <f>Інвестиції[[#This Row],[Вартість одиниці з ПДВ, грн.]]*0.83333</f>
        <v>7499.97</v>
      </c>
      <c r="E8" s="239">
        <f>Таблица3[[#This Row],[Кількість, шт]]*Таблица3[[#This Row],[Вартість одиниці без ПДВ, грн.]]</f>
        <v>22499.91</v>
      </c>
      <c r="F8" s="235">
        <f>Таблица3[[#This Row],[Загальна вартість без ПДВ, грн.]]/Інвестиції[[#This Row],[Доцільний термін експлуатації, років]]</f>
        <v>4499.982</v>
      </c>
      <c r="I8" s="501"/>
      <c r="J8" s="501"/>
      <c r="K8" s="501"/>
      <c r="L8" s="501"/>
      <c r="M8" s="501"/>
      <c r="N8" s="501"/>
    </row>
    <row r="9" spans="1:14" x14ac:dyDescent="0.3">
      <c r="A9" s="237">
        <f>Інвестиції!A9</f>
        <v>5</v>
      </c>
      <c r="B9" s="237" t="str">
        <f>Інвестиції[[#This Row],[Назва обладнання]]</f>
        <v>Фільтр грубої очистки молока ФМ-1</v>
      </c>
      <c r="C9" s="238">
        <f>Інвестиції[[#This Row],[Кількість, шт]]</f>
        <v>1</v>
      </c>
      <c r="D9" s="239">
        <f>Інвестиції[[#This Row],[Вартість одиниці з ПДВ, грн.]]*0.83333</f>
        <v>7499.97</v>
      </c>
      <c r="E9" s="239">
        <f>Таблица3[[#This Row],[Кількість, шт]]*Таблица3[[#This Row],[Вартість одиниці без ПДВ, грн.]]</f>
        <v>7499.97</v>
      </c>
      <c r="F9" s="235">
        <f>Таблица3[[#This Row],[Загальна вартість без ПДВ, грн.]]/Інвестиції[[#This Row],[Доцільний термін експлуатації, років]]</f>
        <v>1499.9940000000001</v>
      </c>
      <c r="I9" s="501"/>
      <c r="J9" s="501"/>
      <c r="K9" s="501"/>
      <c r="L9" s="501"/>
      <c r="M9" s="501"/>
      <c r="N9" s="501"/>
    </row>
    <row r="10" spans="1:14" x14ac:dyDescent="0.3">
      <c r="A10" s="237">
        <f>Інвестиції!A10</f>
        <v>6</v>
      </c>
      <c r="B10" s="237" t="str">
        <f>Інвестиції[[#This Row],[Назва обладнання]]</f>
        <v xml:space="preserve">Охолоджувач молока  2100л </v>
      </c>
      <c r="C10" s="238">
        <f>Інвестиції[[#This Row],[Кількість, шт]]</f>
        <v>2</v>
      </c>
      <c r="D10" s="239">
        <f>Інвестиції[[#This Row],[Вартість одиниці з ПДВ, грн.]]*0.83333</f>
        <v>254165.65</v>
      </c>
      <c r="E10" s="239">
        <f>Таблица3[[#This Row],[Кількість, шт]]*Таблица3[[#This Row],[Вартість одиниці без ПДВ, грн.]]</f>
        <v>508331.3</v>
      </c>
      <c r="F10" s="235">
        <f>Таблица3[[#This Row],[Загальна вартість без ПДВ, грн.]]/Інвестиції[[#This Row],[Доцільний термін експлуатації, років]]</f>
        <v>72618.757142857139</v>
      </c>
      <c r="I10" s="501"/>
      <c r="J10" s="501"/>
      <c r="K10" s="501"/>
      <c r="L10" s="501"/>
      <c r="M10" s="501"/>
      <c r="N10" s="501"/>
    </row>
    <row r="11" spans="1:14" x14ac:dyDescent="0.3">
      <c r="A11" s="237">
        <f>Інвестиції!A11</f>
        <v>7</v>
      </c>
      <c r="B11" s="237" t="str">
        <f>Інвестиції[[#This Row],[Назва обладнання]]</f>
        <v>Тензодатчик М 50</v>
      </c>
      <c r="C11" s="238">
        <f>Інвестиції[[#This Row],[Кількість, шт]]</f>
        <v>4</v>
      </c>
      <c r="D11" s="239">
        <f>Інвестиції[[#This Row],[Вартість одиниці з ПДВ, грн.]]*0.83333</f>
        <v>14999.94</v>
      </c>
      <c r="E11" s="239">
        <f>Таблица3[[#This Row],[Кількість, шт]]*Таблица3[[#This Row],[Вартість одиниці без ПДВ, грн.]]</f>
        <v>59999.76</v>
      </c>
      <c r="F11" s="235">
        <f>Таблица3[[#This Row],[Загальна вартість без ПДВ, грн.]]/Інвестиції[[#This Row],[Доцільний термін експлуатації, років]]</f>
        <v>8571.3942857142865</v>
      </c>
      <c r="I11" s="501"/>
      <c r="J11" s="501"/>
      <c r="K11" s="501"/>
      <c r="L11" s="501"/>
      <c r="M11" s="501"/>
      <c r="N11" s="501"/>
    </row>
    <row r="12" spans="1:14" s="236" customFormat="1" x14ac:dyDescent="0.3">
      <c r="A12" s="240"/>
      <c r="B12" s="240" t="str">
        <f>Інвестиції[[#This Row],[Назва обладнання]]</f>
        <v>ВІДДІЛЕННЯ ПЕРВИННОЇ ПЕРЕРОБКИ МОЛОКА</v>
      </c>
      <c r="C12" s="238">
        <f>Інвестиції[[#This Row],[Кількість, шт]]</f>
        <v>0</v>
      </c>
      <c r="D12" s="239">
        <f>Інвестиції[[#This Row],[Вартість одиниці з ПДВ, грн.]]*0.83333</f>
        <v>0</v>
      </c>
      <c r="E12" s="239">
        <f>Таблица3[[#This Row],[Кількість, шт]]*Таблица3[[#This Row],[Вартість одиниці без ПДВ, грн.]]</f>
        <v>0</v>
      </c>
      <c r="F12" s="235"/>
      <c r="I12" s="501"/>
      <c r="J12" s="501"/>
      <c r="K12" s="501"/>
      <c r="L12" s="501"/>
      <c r="M12" s="501"/>
      <c r="N12" s="501"/>
    </row>
    <row r="13" spans="1:14" x14ac:dyDescent="0.3">
      <c r="A13" s="237">
        <f>Інвестиції!A13</f>
        <v>8</v>
      </c>
      <c r="B13" s="237" t="str">
        <f>Інвестиції[[#This Row],[Назва обладнання]]</f>
        <v>Підігрівач трубчатий ПТ 1000л/год</v>
      </c>
      <c r="C13" s="238">
        <f>Інвестиції[[#This Row],[Кількість, шт]]</f>
        <v>1</v>
      </c>
      <c r="D13" s="239">
        <f>Інвестиції[[#This Row],[Вартість одиниці з ПДВ, грн.]]*0.83333</f>
        <v>77499.69</v>
      </c>
      <c r="E13" s="239">
        <f>Таблица3[[#This Row],[Кількість, шт]]*Таблица3[[#This Row],[Вартість одиниці без ПДВ, грн.]]</f>
        <v>77499.69</v>
      </c>
      <c r="F13" s="235">
        <f>Таблица3[[#This Row],[Загальна вартість без ПДВ, грн.]]/Інвестиції[[#This Row],[Доцільний термін експлуатації, років]]</f>
        <v>12916.615</v>
      </c>
      <c r="I13" s="501"/>
      <c r="J13" s="501"/>
      <c r="K13" s="501"/>
      <c r="L13" s="501"/>
      <c r="M13" s="501"/>
      <c r="N13" s="501"/>
    </row>
    <row r="14" spans="1:14" x14ac:dyDescent="0.3">
      <c r="A14" s="237">
        <f>Інвестиції!A14</f>
        <v>9</v>
      </c>
      <c r="B14" s="237" t="str">
        <f>Інвестиції[[#This Row],[Назва обладнання]]</f>
        <v>Сепаратор вершковідділювач 1000л/год Ж 5-ОСБ</v>
      </c>
      <c r="C14" s="238">
        <f>Інвестиції[[#This Row],[Кількість, шт]]</f>
        <v>1</v>
      </c>
      <c r="D14" s="239">
        <f>Інвестиції[[#This Row],[Вартість одиниці з ПДВ, грн.]]*0.83333</f>
        <v>120832.85</v>
      </c>
      <c r="E14" s="239">
        <f>Таблица3[[#This Row],[Кількість, шт]]*Таблица3[[#This Row],[Вартість одиниці без ПДВ, грн.]]</f>
        <v>120832.85</v>
      </c>
      <c r="F14" s="235">
        <f>Таблица3[[#This Row],[Загальна вартість без ПДВ, грн.]]/Інвестиції[[#This Row],[Доцільний термін експлуатації, років]]</f>
        <v>20138.808333333334</v>
      </c>
      <c r="I14" s="501"/>
      <c r="J14" s="501"/>
      <c r="K14" s="501"/>
      <c r="L14" s="501"/>
      <c r="M14" s="501"/>
      <c r="N14" s="501"/>
    </row>
    <row r="15" spans="1:14" x14ac:dyDescent="0.3">
      <c r="A15" s="237">
        <f>Інвестиції!A15</f>
        <v>10</v>
      </c>
      <c r="B15" s="237" t="str">
        <f>Інвестиції[[#This Row],[Назва обладнання]]</f>
        <v>Площадка для сепаратора н/ж</v>
      </c>
      <c r="C15" s="238">
        <f>Інвестиції[[#This Row],[Кількість, шт]]</f>
        <v>1</v>
      </c>
      <c r="D15" s="239">
        <f>Інвестиції[[#This Row],[Вартість одиниці з ПДВ, грн.]]*0.83333</f>
        <v>11249.955</v>
      </c>
      <c r="E15" s="239">
        <f>Таблица3[[#This Row],[Кількість, шт]]*Таблица3[[#This Row],[Вартість одиниці без ПДВ, грн.]]</f>
        <v>11249.955</v>
      </c>
      <c r="F15" s="235">
        <f>Таблица3[[#This Row],[Загальна вартість без ПДВ, грн.]]/Інвестиції[[#This Row],[Доцільний термін експлуатації, років]]</f>
        <v>1607.1364285714285</v>
      </c>
      <c r="I15" s="501"/>
      <c r="J15" s="501"/>
      <c r="K15" s="501"/>
      <c r="L15" s="501"/>
      <c r="M15" s="501"/>
      <c r="N15" s="501"/>
    </row>
    <row r="16" spans="1:14" s="236" customFormat="1" x14ac:dyDescent="0.3">
      <c r="A16" s="240"/>
      <c r="B16" s="240" t="str">
        <f>Інвестиції[[#This Row],[Назва обладнання]]</f>
        <v>ВІДДІЛЕННЯ ФЕРМЕНТАЦІЇ, ГОМОГЕНІЗАЦІЇ</v>
      </c>
      <c r="C16" s="238">
        <f>Інвестиції[[#This Row],[Кількість, шт]]</f>
        <v>0</v>
      </c>
      <c r="D16" s="239">
        <f>Інвестиції[[#This Row],[Вартість одиниці з ПДВ, грн.]]*0.83333</f>
        <v>0</v>
      </c>
      <c r="E16" s="239">
        <f>Таблица3[[#This Row],[Кількість, шт]]*Таблица3[[#This Row],[Вартість одиниці без ПДВ, грн.]]</f>
        <v>0</v>
      </c>
      <c r="F16" s="235"/>
    </row>
    <row r="17" spans="1:6" x14ac:dyDescent="0.3">
      <c r="A17" s="237">
        <f>Інвестиції!A17</f>
        <v>11</v>
      </c>
      <c r="B17" s="237" t="str">
        <f>Інвестиції[[#This Row],[Назва обладнання]]</f>
        <v>Ванна ВДП-600 л</v>
      </c>
      <c r="C17" s="238">
        <f>Інвестиції[[#This Row],[Кількість, шт]]</f>
        <v>3</v>
      </c>
      <c r="D17" s="239">
        <f>Інвестиції[[#This Row],[Вартість одиниці з ПДВ, грн.]]*0.83333</f>
        <v>78333.02</v>
      </c>
      <c r="E17" s="239">
        <f>Таблица3[[#This Row],[Кількість, шт]]*Таблица3[[#This Row],[Вартість одиниці без ПДВ, грн.]]</f>
        <v>234999.06</v>
      </c>
      <c r="F17" s="235">
        <f>Таблица3[[#This Row],[Загальна вартість без ПДВ, грн.]]/Інвестиції[[#This Row],[Доцільний термін експлуатації, років]]</f>
        <v>33571.294285714284</v>
      </c>
    </row>
    <row r="18" spans="1:6" x14ac:dyDescent="0.3">
      <c r="A18" s="237">
        <f>Інвестиції!A18</f>
        <v>12</v>
      </c>
      <c r="B18" s="237" t="str">
        <f>Інвестиції[[#This Row],[Назва обладнання]]</f>
        <v xml:space="preserve">Ванна ВДП-300 л </v>
      </c>
      <c r="C18" s="238">
        <f>Інвестиції[[#This Row],[Кількість, шт]]</f>
        <v>2</v>
      </c>
      <c r="D18" s="239">
        <f>Інвестиції[[#This Row],[Вартість одиниці з ПДВ, грн.]]*0.83333</f>
        <v>60833.090000000004</v>
      </c>
      <c r="E18" s="239">
        <f>Таблица3[[#This Row],[Кількість, шт]]*Таблица3[[#This Row],[Вартість одиниці без ПДВ, грн.]]</f>
        <v>121666.18000000001</v>
      </c>
      <c r="F18" s="235">
        <f>Таблица3[[#This Row],[Загальна вартість без ПДВ, грн.]]/Інвестиції[[#This Row],[Доцільний термін експлуатації, років]]</f>
        <v>17380.882857142857</v>
      </c>
    </row>
    <row r="19" spans="1:6" x14ac:dyDescent="0.3">
      <c r="A19" s="237">
        <f>Інвестиції!A19</f>
        <v>13</v>
      </c>
      <c r="B19" s="237" t="str">
        <f>Інвестиції[[#This Row],[Назва обладнання]]</f>
        <v>Гомогенізатор К5-ОГА</v>
      </c>
      <c r="C19" s="238">
        <f>Інвестиції[[#This Row],[Кількість, шт]]</f>
        <v>1</v>
      </c>
      <c r="D19" s="239">
        <f>Інвестиції[[#This Row],[Вартість одиниці з ПДВ, грн.]]*0.83333</f>
        <v>162499.35</v>
      </c>
      <c r="E19" s="239">
        <f>Таблица3[[#This Row],[Кількість, шт]]*Таблица3[[#This Row],[Вартість одиниці без ПДВ, грн.]]</f>
        <v>162499.35</v>
      </c>
      <c r="F19" s="235">
        <f>Таблица3[[#This Row],[Загальна вартість без ПДВ, грн.]]/Інвестиції[[#This Row],[Доцільний термін експлуатації, років]]</f>
        <v>23214.192857142858</v>
      </c>
    </row>
    <row r="20" spans="1:6" x14ac:dyDescent="0.3">
      <c r="A20" s="237">
        <f>Інвестиції!A20</f>
        <v>14</v>
      </c>
      <c r="B20" s="237" t="str">
        <f>Інвестиції[[#This Row],[Назва обладнання]]</f>
        <v>Насос відцентровий НЦХ</v>
      </c>
      <c r="C20" s="238">
        <f>Інвестиції[[#This Row],[Кількість, шт]]</f>
        <v>2</v>
      </c>
      <c r="D20" s="239">
        <f>Інвестиції[[#This Row],[Вартість одиниці з ПДВ, грн.]]*0.83333</f>
        <v>7333.3040000000001</v>
      </c>
      <c r="E20" s="239">
        <f>Таблица3[[#This Row],[Кількість, шт]]*Таблица3[[#This Row],[Вартість одиниці без ПДВ, грн.]]</f>
        <v>14666.608</v>
      </c>
      <c r="F20" s="235">
        <f>Таблица3[[#This Row],[Загальна вартість без ПДВ, грн.]]/Інвестиції[[#This Row],[Доцільний термін експлуатації, років]]</f>
        <v>2933.3216000000002</v>
      </c>
    </row>
    <row r="21" spans="1:6" x14ac:dyDescent="0.3">
      <c r="A21" s="237">
        <f>Інвестиції!A21</f>
        <v>15</v>
      </c>
      <c r="B21" s="237" t="str">
        <f>Інвестиції[[#This Row],[Назва обладнання]]</f>
        <v xml:space="preserve">Диспергатор </v>
      </c>
      <c r="C21" s="238">
        <f>Інвестиції[[#This Row],[Кількість, шт]]</f>
        <v>1</v>
      </c>
      <c r="D21" s="239">
        <f>Інвестиції[[#This Row],[Вартість одиниці з ПДВ, грн.]]*0.83333</f>
        <v>49499.802000000003</v>
      </c>
      <c r="E21" s="239">
        <f>Таблица3[[#This Row],[Кількість, шт]]*Таблица3[[#This Row],[Вартість одиниці без ПДВ, грн.]]</f>
        <v>49499.802000000003</v>
      </c>
      <c r="F21" s="235">
        <f>Таблица3[[#This Row],[Загальна вартість без ПДВ, грн.]]/Інвестиції[[#This Row],[Доцільний термін експлуатації, років]]</f>
        <v>9899.9603999999999</v>
      </c>
    </row>
    <row r="22" spans="1:6" x14ac:dyDescent="0.3">
      <c r="A22" s="237">
        <f>Інвестиції!A22</f>
        <v>16</v>
      </c>
      <c r="B22" s="237" t="str">
        <f>Інвестиції[[#This Row],[Назва обладнання]]</f>
        <v>Насос вязких продуктів 1000л/год</v>
      </c>
      <c r="C22" s="238">
        <f>Інвестиції[[#This Row],[Кількість, шт]]</f>
        <v>1</v>
      </c>
      <c r="D22" s="239">
        <f>Інвестиції[[#This Row],[Вартість одиниці з ПДВ, грн.]]*0.83333</f>
        <v>22166.578000000001</v>
      </c>
      <c r="E22" s="239">
        <f>Таблица3[[#This Row],[Кількість, шт]]*Таблица3[[#This Row],[Вартість одиниці без ПДВ, грн.]]</f>
        <v>22166.578000000001</v>
      </c>
      <c r="F22" s="235">
        <f>Таблица3[[#This Row],[Загальна вартість без ПДВ, грн.]]/Інвестиції[[#This Row],[Доцільний термін експлуатації, років]]</f>
        <v>4433.3155999999999</v>
      </c>
    </row>
    <row r="23" spans="1:6" s="236" customFormat="1" x14ac:dyDescent="0.3">
      <c r="A23" s="240"/>
      <c r="B23" s="240" t="str">
        <f>Інвестиції[[#This Row],[Назва обладнання]]</f>
        <v>ВІДДІЛЕННЯ ВИРОБНИЦТВА СИРУ</v>
      </c>
      <c r="C23" s="238">
        <f>Інвестиції[[#This Row],[Кількість, шт]]</f>
        <v>0</v>
      </c>
      <c r="D23" s="239">
        <f>Інвестиції[[#This Row],[Вартість одиниці з ПДВ, грн.]]*0.83333</f>
        <v>0</v>
      </c>
      <c r="E23" s="239">
        <f>Таблица3[[#This Row],[Кількість, шт]]*Таблица3[[#This Row],[Вартість одиниці без ПДВ, грн.]]</f>
        <v>0</v>
      </c>
      <c r="F23" s="235"/>
    </row>
    <row r="24" spans="1:6" x14ac:dyDescent="0.3">
      <c r="A24" s="237">
        <f>Інвестиції!A24</f>
        <v>17</v>
      </c>
      <c r="B24" s="237" t="str">
        <f>Інвестиції[[#This Row],[Назва обладнання]]</f>
        <v xml:space="preserve">Ванна сирна ВСВ-1000л </v>
      </c>
      <c r="C24" s="238">
        <f>Інвестиції[[#This Row],[Кількість, шт]]</f>
        <v>1</v>
      </c>
      <c r="D24" s="239">
        <f>Інвестиції[[#This Row],[Вартість одиниці з ПДВ, грн.]]*0.83333</f>
        <v>166666</v>
      </c>
      <c r="E24" s="239">
        <f>Таблица3[[#This Row],[Кількість, шт]]*Таблица3[[#This Row],[Вартість одиниці без ПДВ, грн.]]</f>
        <v>166666</v>
      </c>
      <c r="F24" s="235">
        <f>Таблица3[[#This Row],[Загальна вартість без ПДВ, грн.]]/Інвестиції[[#This Row],[Доцільний термін експлуатації, років]]</f>
        <v>23809.428571428572</v>
      </c>
    </row>
    <row r="25" spans="1:6" x14ac:dyDescent="0.3">
      <c r="A25" s="237">
        <f>Інвестиції!A25</f>
        <v>18</v>
      </c>
      <c r="B25" s="237" t="str">
        <f>Інвестиції[[#This Row],[Назва обладнання]]</f>
        <v xml:space="preserve">Платформа ванни н/ж </v>
      </c>
      <c r="C25" s="238">
        <f>Інвестиції[[#This Row],[Кількість, шт]]</f>
        <v>1</v>
      </c>
      <c r="D25" s="239">
        <f>Інвестиції[[#This Row],[Вартість одиниці з ПДВ, грн.]]*0.83333</f>
        <v>20833.25</v>
      </c>
      <c r="E25" s="239">
        <f>Таблица3[[#This Row],[Кількість, шт]]*Таблица3[[#This Row],[Вартість одиниці без ПДВ, грн.]]</f>
        <v>20833.25</v>
      </c>
      <c r="F25" s="235">
        <f>Таблица3[[#This Row],[Загальна вартість без ПДВ, грн.]]/Інвестиції[[#This Row],[Доцільний термін експлуатації, років]]</f>
        <v>2976.1785714285716</v>
      </c>
    </row>
    <row r="26" spans="1:6" x14ac:dyDescent="0.3">
      <c r="A26" s="237">
        <f>Інвестиції!A26</f>
        <v>19</v>
      </c>
      <c r="B26" s="237" t="str">
        <f>Інвестиції[[#This Row],[Назва обладнання]]</f>
        <v xml:space="preserve">Візок сирний ПСП-2  100кг </v>
      </c>
      <c r="C26" s="238">
        <f>Інвестиції[[#This Row],[Кількість, шт]]</f>
        <v>1</v>
      </c>
      <c r="D26" s="239">
        <f>Інвестиції[[#This Row],[Вартість одиниці з ПДВ, грн.]]*0.83333</f>
        <v>39833.173999999999</v>
      </c>
      <c r="E26" s="239">
        <f>Таблица3[[#This Row],[Кількість, шт]]*Таблица3[[#This Row],[Вартість одиниці без ПДВ, грн.]]</f>
        <v>39833.173999999999</v>
      </c>
      <c r="F26" s="235">
        <f>Таблица3[[#This Row],[Загальна вартість без ПДВ, грн.]]/Інвестиції[[#This Row],[Доцільний термін експлуатації, років]]</f>
        <v>5690.453428571428</v>
      </c>
    </row>
    <row r="27" spans="1:6" x14ac:dyDescent="0.3">
      <c r="A27" s="237">
        <f>Інвестиції!A27</f>
        <v>20</v>
      </c>
      <c r="B27" s="237" t="str">
        <f>Інвестиції[[#This Row],[Назва обладнання]]</f>
        <v xml:space="preserve">Резервуар сироватки  1000л </v>
      </c>
      <c r="C27" s="238">
        <f>Інвестиції[[#This Row],[Кількість, шт]]</f>
        <v>1</v>
      </c>
      <c r="D27" s="239">
        <f>Інвестиції[[#This Row],[Вартість одиниці з ПДВ, грн.]]*0.83333</f>
        <v>35249.859000000004</v>
      </c>
      <c r="E27" s="239">
        <f>Таблица3[[#This Row],[Кількість, шт]]*Таблица3[[#This Row],[Вартість одиниці без ПДВ, грн.]]</f>
        <v>35249.859000000004</v>
      </c>
      <c r="F27" s="235">
        <f>Таблица3[[#This Row],[Загальна вартість без ПДВ, грн.]]/Інвестиції[[#This Row],[Доцільний термін експлуатації, років]]</f>
        <v>5035.6941428571436</v>
      </c>
    </row>
    <row r="28" spans="1:6" x14ac:dyDescent="0.3">
      <c r="A28" s="237">
        <f>Інвестиції!A28</f>
        <v>21</v>
      </c>
      <c r="B28" s="237" t="str">
        <f>Інвестиції[[#This Row],[Назва обладнання]]</f>
        <v>Насос відцентровий НЦХ</v>
      </c>
      <c r="C28" s="238">
        <f>Інвестиції[[#This Row],[Кількість, шт]]</f>
        <v>2</v>
      </c>
      <c r="D28" s="239">
        <f>Інвестиції[[#This Row],[Вартість одиниці з ПДВ, грн.]]*0.83333</f>
        <v>7333.3040000000001</v>
      </c>
      <c r="E28" s="239">
        <f>Таблица3[[#This Row],[Кількість, шт]]*Таблица3[[#This Row],[Вартість одиниці без ПДВ, грн.]]</f>
        <v>14666.608</v>
      </c>
      <c r="F28" s="235">
        <f>Таблица3[[#This Row],[Загальна вартість без ПДВ, грн.]]/Інвестиції[[#This Row],[Доцільний термін експлуатації, років]]</f>
        <v>2933.3216000000002</v>
      </c>
    </row>
    <row r="29" spans="1:6" s="236" customFormat="1" x14ac:dyDescent="0.3">
      <c r="A29" s="240"/>
      <c r="B29" s="240" t="str">
        <f>Інвестиції[[#This Row],[Назва обладнання]]</f>
        <v>ВІДДІЛЕННЯ ФАСУВАННЯ</v>
      </c>
      <c r="C29" s="238">
        <f>Інвестиції[[#This Row],[Кількість, шт]]</f>
        <v>0</v>
      </c>
      <c r="D29" s="239">
        <f>Інвестиції[[#This Row],[Вартість одиниці з ПДВ, грн.]]*0.83333</f>
        <v>0</v>
      </c>
      <c r="E29" s="239">
        <f>Таблица3[[#This Row],[Кількість, шт]]*Таблица3[[#This Row],[Вартість одиниці без ПДВ, грн.]]</f>
        <v>0</v>
      </c>
      <c r="F29" s="235"/>
    </row>
    <row r="30" spans="1:6" x14ac:dyDescent="0.3">
      <c r="A30" s="237">
        <f>Інвестиції!A30</f>
        <v>22</v>
      </c>
      <c r="B30" s="237" t="str">
        <f>Інвестиції[[#This Row],[Назва обладнання]]</f>
        <v xml:space="preserve">Вакуум пакувальна машина </v>
      </c>
      <c r="C30" s="238">
        <f>Інвестиції[[#This Row],[Кількість, шт]]</f>
        <v>1</v>
      </c>
      <c r="D30" s="239">
        <f>Інвестиції[[#This Row],[Вартість одиниці з ПДВ, грн.]]*0.83333</f>
        <v>145832.75</v>
      </c>
      <c r="E30" s="239">
        <f>Таблица3[[#This Row],[Кількість, шт]]*Таблица3[[#This Row],[Вартість одиниці без ПДВ, грн.]]</f>
        <v>145832.75</v>
      </c>
      <c r="F30" s="235">
        <f>Таблица3[[#This Row],[Загальна вартість без ПДВ, грн.]]/Інвестиції[[#This Row],[Доцільний термін експлуатації, років]]</f>
        <v>29166.55</v>
      </c>
    </row>
    <row r="31" spans="1:6" x14ac:dyDescent="0.3">
      <c r="A31" s="237">
        <f>Інвестиції!A31</f>
        <v>23</v>
      </c>
      <c r="B31" s="237" t="str">
        <f>Інвестиції[[#This Row],[Назва обладнання]]</f>
        <v>Автомат фасування в стакан 400гр</v>
      </c>
      <c r="C31" s="238">
        <f>Інвестиції[[#This Row],[Кількість, шт]]</f>
        <v>1</v>
      </c>
      <c r="D31" s="239">
        <f>Інвестиції[[#This Row],[Вартість одиниці з ПДВ, грн.]]*0.83333</f>
        <v>66666.399999999994</v>
      </c>
      <c r="E31" s="239">
        <f>Таблица3[[#This Row],[Кількість, шт]]*Таблица3[[#This Row],[Вартість одиниці без ПДВ, грн.]]</f>
        <v>66666.399999999994</v>
      </c>
      <c r="F31" s="235">
        <f>Таблица3[[#This Row],[Загальна вартість без ПДВ, грн.]]/Інвестиції[[#This Row],[Доцільний термін експлуатації, років]]</f>
        <v>13333.279999999999</v>
      </c>
    </row>
    <row r="32" spans="1:6" x14ac:dyDescent="0.3">
      <c r="A32" s="237">
        <f>Інвестиції!A32</f>
        <v>24</v>
      </c>
      <c r="B32" s="237" t="str">
        <f>Інвестиції[[#This Row],[Назва обладнання]]</f>
        <v>Дозавтомат фасування (0,5-1,0л) 300 циклів за годину (банка-пляшка)</v>
      </c>
      <c r="C32" s="238">
        <f>Інвестиції[[#This Row],[Кількість, шт]]</f>
        <v>1</v>
      </c>
      <c r="D32" s="239">
        <f>Інвестиції[[#This Row],[Вартість одиниці з ПДВ, грн.]]*0.83333</f>
        <v>60416.425000000003</v>
      </c>
      <c r="E32" s="239">
        <f>Таблица3[[#This Row],[Кількість, шт]]*Таблица3[[#This Row],[Вартість одиниці без ПДВ, грн.]]</f>
        <v>60416.425000000003</v>
      </c>
      <c r="F32" s="235">
        <f>Таблица3[[#This Row],[Загальна вартість без ПДВ, грн.]]/Інвестиції[[#This Row],[Доцільний термін експлуатації, років]]</f>
        <v>12083.285</v>
      </c>
    </row>
    <row r="33" spans="1:6" s="236" customFormat="1" x14ac:dyDescent="0.3">
      <c r="A33" s="240"/>
      <c r="B33" s="240" t="str">
        <f>Інвестиції[[#This Row],[Назва обладнання]]</f>
        <v>ВІДДІЛЕННЯ МИЙНЕ</v>
      </c>
      <c r="C33" s="238">
        <f>Інвестиції[[#This Row],[Кількість, шт]]</f>
        <v>0</v>
      </c>
      <c r="D33" s="239">
        <f>Інвестиції[[#This Row],[Вартість одиниці з ПДВ, грн.]]*0.83333</f>
        <v>0</v>
      </c>
      <c r="E33" s="239">
        <f>Таблица3[[#This Row],[Кількість, шт]]*Таблица3[[#This Row],[Вартість одиниці без ПДВ, грн.]]</f>
        <v>0</v>
      </c>
      <c r="F33" s="235"/>
    </row>
    <row r="34" spans="1:6" x14ac:dyDescent="0.3">
      <c r="A34" s="237">
        <f>Інвестиції!A34</f>
        <v>25</v>
      </c>
      <c r="B34" s="237" t="str">
        <f>Інвестиції[[#This Row],[Назва обладнання]]</f>
        <v>Мийка централізована 3з1,0-0,3-0,3</v>
      </c>
      <c r="C34" s="238">
        <f>Інвестиції[[#This Row],[Кількість, шт]]</f>
        <v>1</v>
      </c>
      <c r="D34" s="239">
        <f>Інвестиції[[#This Row],[Вартість одиниці з ПДВ, грн.]]*0.83333</f>
        <v>233332.4</v>
      </c>
      <c r="E34" s="239">
        <f>Таблица3[[#This Row],[Кількість, шт]]*Таблица3[[#This Row],[Вартість одиниці без ПДВ, грн.]]</f>
        <v>233332.4</v>
      </c>
      <c r="F34" s="235">
        <f>Таблица3[[#This Row],[Загальна вартість без ПДВ, грн.]]/Інвестиції[[#This Row],[Доцільний термін експлуатації, років]]</f>
        <v>38888.73333333333</v>
      </c>
    </row>
    <row r="35" spans="1:6" s="236" customFormat="1" x14ac:dyDescent="0.3">
      <c r="A35" s="240"/>
      <c r="B35" s="240" t="str">
        <f>Інвестиції[[#This Row],[Назва обладнання]]</f>
        <v>ДОПОМІЖНЕ ОБЛАДНАННЯ</v>
      </c>
      <c r="C35" s="238">
        <f>Інвестиції[[#This Row],[Кількість, шт]]</f>
        <v>0</v>
      </c>
      <c r="D35" s="239">
        <f>Інвестиції[[#This Row],[Вартість одиниці з ПДВ, грн.]]*0.83333</f>
        <v>0</v>
      </c>
      <c r="E35" s="239">
        <f>Таблица3[[#This Row],[Кількість, шт]]*Таблица3[[#This Row],[Вартість одиниці без ПДВ, грн.]]</f>
        <v>0</v>
      </c>
      <c r="F35" s="235"/>
    </row>
    <row r="36" spans="1:6" x14ac:dyDescent="0.3">
      <c r="A36" s="237">
        <f>Інвестиції!A36</f>
        <v>26</v>
      </c>
      <c r="B36" s="237" t="str">
        <f>Інвестиції[[#This Row],[Назва обладнання]]</f>
        <v>Стіл технологічний н/ж 1200х600х8000</v>
      </c>
      <c r="C36" s="238">
        <f>Інвестиції[[#This Row],[Кількість, шт]]</f>
        <v>2</v>
      </c>
      <c r="D36" s="239">
        <f>Інвестиції[[#This Row],[Вартість одиниці з ПДВ, грн.]]*0.83333</f>
        <v>9999.9600000000009</v>
      </c>
      <c r="E36" s="239">
        <f>Таблица3[[#This Row],[Кількість, шт]]*Таблица3[[#This Row],[Вартість одиниці без ПДВ, грн.]]</f>
        <v>19999.920000000002</v>
      </c>
      <c r="F36" s="235">
        <f>Таблица3[[#This Row],[Загальна вартість без ПДВ, грн.]]/Інвестиції[[#This Row],[Доцільний термін експлуатації, років]]</f>
        <v>3999.9840000000004</v>
      </c>
    </row>
    <row r="37" spans="1:6" x14ac:dyDescent="0.3">
      <c r="A37" s="237">
        <f>Інвестиції!A37</f>
        <v>27</v>
      </c>
      <c r="B37" s="237" t="str">
        <f>Інвестиції[[#This Row],[Назва обладнання]]</f>
        <v xml:space="preserve">Мішалка для фляг </v>
      </c>
      <c r="C37" s="238">
        <f>Інвестиції[[#This Row],[Кількість, шт]]</f>
        <v>2</v>
      </c>
      <c r="D37" s="239">
        <f>Інвестиції[[#This Row],[Вартість одиниці з ПДВ, грн.]]*0.83333</f>
        <v>466.66480000000001</v>
      </c>
      <c r="E37" s="239">
        <f>Таблица3[[#This Row],[Кількість, шт]]*Таблица3[[#This Row],[Вартість одиниці без ПДВ, грн.]]</f>
        <v>933.32960000000003</v>
      </c>
      <c r="F37" s="235">
        <f>Таблица3[[#This Row],[Загальна вартість без ПДВ, грн.]]/Інвестиції[[#This Row],[Доцільний термін експлуатації, років]]</f>
        <v>186.66592</v>
      </c>
    </row>
    <row r="38" spans="1:6" x14ac:dyDescent="0.3">
      <c r="A38" s="237">
        <f>Інвестиції!A38</f>
        <v>28</v>
      </c>
      <c r="B38" s="237" t="str">
        <f>Інвестиції[[#This Row],[Назва обладнання]]</f>
        <v xml:space="preserve">Мийка приладдя 2-х секційна </v>
      </c>
      <c r="C38" s="238">
        <f>Інвестиції[[#This Row],[Кількість, шт]]</f>
        <v>2</v>
      </c>
      <c r="D38" s="239">
        <f>Інвестиції[[#This Row],[Вартість одиниці з ПДВ, грн.]]*0.83333</f>
        <v>11499.954</v>
      </c>
      <c r="E38" s="239">
        <f>Таблица3[[#This Row],[Кількість, шт]]*Таблица3[[#This Row],[Вартість одиниці без ПДВ, грн.]]</f>
        <v>22999.907999999999</v>
      </c>
      <c r="F38" s="235">
        <f>Таблица3[[#This Row],[Загальна вартість без ПДВ, грн.]]/Інвестиції[[#This Row],[Доцільний термін експлуатації, років]]</f>
        <v>4599.9816000000001</v>
      </c>
    </row>
    <row r="39" spans="1:6" s="236" customFormat="1" x14ac:dyDescent="0.3">
      <c r="A39" s="240"/>
      <c r="B39" s="240" t="str">
        <f>Інвестиції[[#This Row],[Назва обладнання]]</f>
        <v>МОЛОЧНА АРМАТУРА</v>
      </c>
      <c r="C39" s="238">
        <f>Інвестиції[[#This Row],[Кількість, шт]]</f>
        <v>0</v>
      </c>
      <c r="D39" s="239">
        <f>Інвестиції[[#This Row],[Вартість одиниці з ПДВ, грн.]]*0.83333</f>
        <v>0</v>
      </c>
      <c r="E39" s="239">
        <f>Таблица3[[#This Row],[Кількість, шт]]*Таблица3[[#This Row],[Вартість одиниці без ПДВ, грн.]]</f>
        <v>0</v>
      </c>
      <c r="F39" s="235"/>
    </row>
    <row r="40" spans="1:6" x14ac:dyDescent="0.3">
      <c r="A40" s="237">
        <f>Інвестиції!A40</f>
        <v>29</v>
      </c>
      <c r="B40" s="237" t="str">
        <f>Інвестиції[[#This Row],[Назва обладнання]]</f>
        <v xml:space="preserve">Труба 40х1,5  н/ж 304  </v>
      </c>
      <c r="C40" s="238">
        <f>Інвестиції[[#This Row],[Кількість, шт]]</f>
        <v>150</v>
      </c>
      <c r="D40" s="239">
        <f>Інвестиції[[#This Row],[Вартість одиниці з ПДВ, грн.]]*0.83333</f>
        <v>233.33240000000001</v>
      </c>
      <c r="E40" s="239">
        <f>Таблица3[[#This Row],[Кількість, шт]]*Таблица3[[#This Row],[Вартість одиниці без ПДВ, грн.]]</f>
        <v>34999.86</v>
      </c>
      <c r="F40" s="235">
        <f>Таблица3[[#This Row],[Загальна вартість без ПДВ, грн.]]/Інвестиції[[#This Row],[Доцільний термін експлуатації, років]]</f>
        <v>4999.9800000000005</v>
      </c>
    </row>
    <row r="41" spans="1:6" x14ac:dyDescent="0.3">
      <c r="A41" s="237">
        <f>Інвестиції!A41</f>
        <v>30</v>
      </c>
      <c r="B41" s="237" t="str">
        <f>Інвестиції[[#This Row],[Назва обладнання]]</f>
        <v xml:space="preserve">Труба 52х1,5  н/ж 304 </v>
      </c>
      <c r="C41" s="238">
        <f>Інвестиції[[#This Row],[Кількість, шт]]</f>
        <v>35</v>
      </c>
      <c r="D41" s="239">
        <f>Інвестиції[[#This Row],[Вартість одиниці з ПДВ, грн.]]*0.83333</f>
        <v>274.99889999999999</v>
      </c>
      <c r="E41" s="239">
        <f>Таблица3[[#This Row],[Кількість, шт]]*Таблица3[[#This Row],[Вартість одиниці без ПДВ, грн.]]</f>
        <v>9624.9614999999994</v>
      </c>
      <c r="F41" s="235">
        <f>Таблица3[[#This Row],[Загальна вартість без ПДВ, грн.]]/Інвестиції[[#This Row],[Доцільний термін експлуатації, років]]</f>
        <v>1374.9945</v>
      </c>
    </row>
    <row r="42" spans="1:6" x14ac:dyDescent="0.3">
      <c r="A42" s="237">
        <f>Інвестиції!A42</f>
        <v>31</v>
      </c>
      <c r="B42" s="237" t="str">
        <f>Інвестиції[[#This Row],[Назва обладнання]]</f>
        <v xml:space="preserve">Труба 40х40х1,5 н/ж 304  </v>
      </c>
      <c r="C42" s="238">
        <f>Інвестиції[[#This Row],[Кількість, шт]]</f>
        <v>18</v>
      </c>
      <c r="D42" s="239">
        <f>Інвестиції[[#This Row],[Вартість одиниці з ПДВ, грн.]]*0.83333</f>
        <v>249.999</v>
      </c>
      <c r="E42" s="239">
        <f>Таблица3[[#This Row],[Кількість, шт]]*Таблица3[[#This Row],[Вартість одиниці без ПДВ, грн.]]</f>
        <v>4499.982</v>
      </c>
      <c r="F42" s="235">
        <f>Таблица3[[#This Row],[Загальна вартість без ПДВ, грн.]]/Інвестиції[[#This Row],[Доцільний термін експлуатації, років]]</f>
        <v>642.85457142857138</v>
      </c>
    </row>
    <row r="43" spans="1:6" x14ac:dyDescent="0.3">
      <c r="A43" s="237">
        <f>Інвестиції!A43</f>
        <v>32</v>
      </c>
      <c r="B43" s="237" t="str">
        <f>Інвестиції[[#This Row],[Назва обладнання]]</f>
        <v xml:space="preserve">Труба 20х20х1,5 н/ж 304  </v>
      </c>
      <c r="C43" s="238">
        <f>Інвестиції[[#This Row],[Кількість, шт]]</f>
        <v>18</v>
      </c>
      <c r="D43" s="239">
        <f>Інвестиції[[#This Row],[Вартість одиниці з ПДВ, грн.]]*0.83333</f>
        <v>166.666</v>
      </c>
      <c r="E43" s="239">
        <f>Таблица3[[#This Row],[Кількість, шт]]*Таблица3[[#This Row],[Вартість одиниці без ПДВ, грн.]]</f>
        <v>2999.9879999999998</v>
      </c>
      <c r="F43" s="235">
        <f>Таблица3[[#This Row],[Загальна вартість без ПДВ, грн.]]/Інвестиції[[#This Row],[Доцільний термін експлуатації, років]]</f>
        <v>428.56971428571427</v>
      </c>
    </row>
    <row r="44" spans="1:6" x14ac:dyDescent="0.3">
      <c r="A44" s="237">
        <f>Інвестиції!A44</f>
        <v>33</v>
      </c>
      <c r="B44" s="237" t="str">
        <f>Інвестиції[[#This Row],[Назва обладнання]]</f>
        <v xml:space="preserve">Труба 20х40х1,5 н/ж 304  </v>
      </c>
      <c r="C44" s="238">
        <f>Інвестиції[[#This Row],[Кількість, шт]]</f>
        <v>42</v>
      </c>
      <c r="D44" s="239">
        <f>Інвестиції[[#This Row],[Вартість одиниці з ПДВ, грн.]]*0.83333</f>
        <v>208.33250000000001</v>
      </c>
      <c r="E44" s="239">
        <f>Таблица3[[#This Row],[Кількість, шт]]*Таблица3[[#This Row],[Вартість одиниці без ПДВ, грн.]]</f>
        <v>8749.9650000000001</v>
      </c>
      <c r="F44" s="235">
        <f>Таблица3[[#This Row],[Загальна вартість без ПДВ, грн.]]/Інвестиції[[#This Row],[Доцільний термін експлуатації, років]]</f>
        <v>1249.9950000000001</v>
      </c>
    </row>
    <row r="45" spans="1:6" x14ac:dyDescent="0.3">
      <c r="A45" s="237">
        <f>Інвестиції!A45</f>
        <v>34</v>
      </c>
      <c r="B45" s="237" t="str">
        <f>Інвестиції[[#This Row],[Назва обладнання]]</f>
        <v xml:space="preserve">Відвод 40х1,5  н/ж 304 </v>
      </c>
      <c r="C45" s="238">
        <f>Інвестиції[[#This Row],[Кількість, шт]]</f>
        <v>130</v>
      </c>
      <c r="D45" s="239">
        <f>Інвестиції[[#This Row],[Вартість одиниці з ПДВ, грн.]]*0.83333</f>
        <v>83.332999999999998</v>
      </c>
      <c r="E45" s="239">
        <f>Таблица3[[#This Row],[Кількість, шт]]*Таблица3[[#This Row],[Вартість одиниці без ПДВ, грн.]]</f>
        <v>10833.289999999999</v>
      </c>
      <c r="F45" s="235">
        <f>Таблица3[[#This Row],[Загальна вартість без ПДВ, грн.]]/Інвестиції[[#This Row],[Доцільний термін експлуатації, років]]</f>
        <v>1547.6128571428569</v>
      </c>
    </row>
    <row r="46" spans="1:6" x14ac:dyDescent="0.3">
      <c r="A46" s="237">
        <f>Інвестиції!A46</f>
        <v>35</v>
      </c>
      <c r="B46" s="237" t="str">
        <f>Інвестиції[[#This Row],[Назва обладнання]]</f>
        <v xml:space="preserve">Відвод 52х1,5  н/ж 304 </v>
      </c>
      <c r="C46" s="238">
        <f>Інвестиції[[#This Row],[Кількість, шт]]</f>
        <v>45</v>
      </c>
      <c r="D46" s="239">
        <f>Інвестиції[[#This Row],[Вартість одиниці з ПДВ, грн.]]*0.83333</f>
        <v>83.332999999999998</v>
      </c>
      <c r="E46" s="239">
        <f>Таблица3[[#This Row],[Кількість, шт]]*Таблица3[[#This Row],[Вартість одиниці без ПДВ, грн.]]</f>
        <v>3749.9850000000001</v>
      </c>
      <c r="F46" s="235">
        <f>Таблица3[[#This Row],[Загальна вартість без ПДВ, грн.]]/Інвестиції[[#This Row],[Доцільний термін експлуатації, років]]</f>
        <v>535.71214285714291</v>
      </c>
    </row>
    <row r="47" spans="1:6" x14ac:dyDescent="0.3">
      <c r="A47" s="237">
        <f>Інвестиції!A47</f>
        <v>36</v>
      </c>
      <c r="B47" s="237" t="str">
        <f>Інвестиції[[#This Row],[Назва обладнання]]</f>
        <v xml:space="preserve">Трійник 52х1,5  н/ж 304 </v>
      </c>
      <c r="C47" s="238">
        <f>Інвестиції[[#This Row],[Кількість, шт]]</f>
        <v>15</v>
      </c>
      <c r="D47" s="239">
        <f>Інвестиції[[#This Row],[Вартість одиниці з ПДВ, грн.]]*0.83333</f>
        <v>83.332999999999998</v>
      </c>
      <c r="E47" s="239">
        <f>Таблица3[[#This Row],[Кількість, шт]]*Таблица3[[#This Row],[Вартість одиниці без ПДВ, грн.]]</f>
        <v>1249.9949999999999</v>
      </c>
      <c r="F47" s="235">
        <f>Таблица3[[#This Row],[Загальна вартість без ПДВ, грн.]]/Інвестиції[[#This Row],[Доцільний термін експлуатації, років]]</f>
        <v>178.57071428571427</v>
      </c>
    </row>
    <row r="48" spans="1:6" x14ac:dyDescent="0.3">
      <c r="A48" s="237">
        <f>Інвестиції!A48</f>
        <v>37</v>
      </c>
      <c r="B48" s="237" t="str">
        <f>Інвестиції[[#This Row],[Назва обладнання]]</f>
        <v xml:space="preserve">Трійник 40х1,5  н/ж 304 </v>
      </c>
      <c r="C48" s="238">
        <f>Інвестиції[[#This Row],[Кількість, шт]]</f>
        <v>41</v>
      </c>
      <c r="D48" s="239">
        <f>Інвестиції[[#This Row],[Вартість одиниці з ПДВ, грн.]]*0.83333</f>
        <v>83.332999999999998</v>
      </c>
      <c r="E48" s="239">
        <f>Таблица3[[#This Row],[Кількість, шт]]*Таблица3[[#This Row],[Вартість одиниці без ПДВ, грн.]]</f>
        <v>3416.6529999999998</v>
      </c>
      <c r="F48" s="235">
        <f>Таблица3[[#This Row],[Загальна вартість без ПДВ, грн.]]/Інвестиції[[#This Row],[Доцільний термін експлуатації, років]]</f>
        <v>488.09328571428568</v>
      </c>
    </row>
    <row r="49" spans="1:6" x14ac:dyDescent="0.3">
      <c r="A49" s="237">
        <f>Інвестиції!A49</f>
        <v>38</v>
      </c>
      <c r="B49" s="237" t="str">
        <f>Інвестиції[[#This Row],[Назва обладнання]]</f>
        <v>Кран шиберний  Дн- 40 Р-З</v>
      </c>
      <c r="C49" s="238">
        <f>Інвестиції[[#This Row],[Кількість, шт]]</f>
        <v>77</v>
      </c>
      <c r="D49" s="239">
        <f>Інвестиції[[#This Row],[Вартість одиниці з ПДВ, грн.]]*0.83333</f>
        <v>624.99750000000006</v>
      </c>
      <c r="E49" s="239">
        <f>Таблица3[[#This Row],[Кількість, шт]]*Таблица3[[#This Row],[Вартість одиниці без ПДВ, грн.]]</f>
        <v>48124.807500000003</v>
      </c>
      <c r="F49" s="235">
        <f>Таблица3[[#This Row],[Загальна вартість без ПДВ, грн.]]/Інвестиції[[#This Row],[Доцільний термін експлуатації, років]]</f>
        <v>6874.9725000000008</v>
      </c>
    </row>
    <row r="50" spans="1:6" x14ac:dyDescent="0.3">
      <c r="A50" s="237">
        <f>Інвестиції!A50</f>
        <v>39</v>
      </c>
      <c r="B50" s="237" t="str">
        <f>Інвестиції[[#This Row],[Назва обладнання]]</f>
        <v>Кран шиберний  Дн- 50  Р-З</v>
      </c>
      <c r="C50" s="238">
        <f>Інвестиції[[#This Row],[Кількість, шт]]</f>
        <v>19</v>
      </c>
      <c r="D50" s="239">
        <f>Інвестиції[[#This Row],[Вартість одиниці з ПДВ, грн.]]*0.83333</f>
        <v>666.66399999999999</v>
      </c>
      <c r="E50" s="239">
        <f>Таблица3[[#This Row],[Кількість, шт]]*Таблица3[[#This Row],[Вартість одиниці без ПДВ, грн.]]</f>
        <v>12666.616</v>
      </c>
      <c r="F50" s="235">
        <f>Таблица3[[#This Row],[Загальна вартість без ПДВ, грн.]]/Інвестиції[[#This Row],[Доцільний термін експлуатації, років]]</f>
        <v>1809.5165714285715</v>
      </c>
    </row>
    <row r="51" spans="1:6" x14ac:dyDescent="0.3">
      <c r="A51" s="237">
        <f>Інвестиції!A51</f>
        <v>40</v>
      </c>
      <c r="B51" s="237" t="str">
        <f>Інвестиції[[#This Row],[Назва обладнання]]</f>
        <v xml:space="preserve">Зєднання муфтове Дн-40 </v>
      </c>
      <c r="C51" s="238">
        <f>Інвестиції[[#This Row],[Кількість, шт]]</f>
        <v>30</v>
      </c>
      <c r="D51" s="239">
        <f>Інвестиції[[#This Row],[Вартість одиниці з ПДВ, грн.]]*0.83333</f>
        <v>291.66550000000001</v>
      </c>
      <c r="E51" s="239">
        <f>Таблица3[[#This Row],[Кількість, шт]]*Таблица3[[#This Row],[Вартість одиниці без ПДВ, грн.]]</f>
        <v>8749.9650000000001</v>
      </c>
      <c r="F51" s="235">
        <f>Таблица3[[#This Row],[Загальна вартість без ПДВ, грн.]]/Інвестиції[[#This Row],[Доцільний термін експлуатації, років]]</f>
        <v>1249.9950000000001</v>
      </c>
    </row>
    <row r="52" spans="1:6" x14ac:dyDescent="0.3">
      <c r="A52" s="237">
        <f>Інвестиції!A52</f>
        <v>41</v>
      </c>
      <c r="B52" s="237" t="str">
        <f>Інвестиції[[#This Row],[Назва обладнання]]</f>
        <v xml:space="preserve">Зєднання муфтове Дн-50 </v>
      </c>
      <c r="C52" s="238">
        <f>Інвестиції[[#This Row],[Кількість, шт]]</f>
        <v>19</v>
      </c>
      <c r="D52" s="239">
        <f>Інвестиції[[#This Row],[Вартість одиниці з ПДВ, грн.]]*0.83333</f>
        <v>333.33199999999999</v>
      </c>
      <c r="E52" s="239">
        <f>Таблица3[[#This Row],[Кількість, шт]]*Таблица3[[#This Row],[Вартість одиниці без ПДВ, грн.]]</f>
        <v>6333.308</v>
      </c>
      <c r="F52" s="235">
        <f>Таблица3[[#This Row],[Загальна вартість без ПДВ, грн.]]/Інвестиції[[#This Row],[Доцільний термін експлуатації, років]]</f>
        <v>904.75828571428576</v>
      </c>
    </row>
    <row r="53" spans="1:6" x14ac:dyDescent="0.3">
      <c r="A53" s="237">
        <f>Інвестиції!A53</f>
        <v>42</v>
      </c>
      <c r="B53" s="237" t="str">
        <f>Інвестиції[[#This Row],[Назва обладнання]]</f>
        <v>Гайка шліцева Дн-40</v>
      </c>
      <c r="C53" s="238">
        <f>Інвестиції[[#This Row],[Кількість, шт]]</f>
        <v>77</v>
      </c>
      <c r="D53" s="239">
        <f>Інвестиції[[#This Row],[Вартість одиниці з ПДВ, грн.]]*0.83333</f>
        <v>99.999600000000001</v>
      </c>
      <c r="E53" s="239">
        <f>Таблица3[[#This Row],[Кількість, шт]]*Таблица3[[#This Row],[Вартість одиниці без ПДВ, грн.]]</f>
        <v>7699.9692000000005</v>
      </c>
      <c r="F53" s="235">
        <f>Таблица3[[#This Row],[Загальна вартість без ПДВ, грн.]]/Інвестиції[[#This Row],[Доцільний термін експлуатації, років]]</f>
        <v>1099.9956</v>
      </c>
    </row>
    <row r="54" spans="1:6" x14ac:dyDescent="0.3">
      <c r="A54" s="237">
        <f>Інвестиції!A54</f>
        <v>43</v>
      </c>
      <c r="B54" s="237" t="str">
        <f>Інвестиції[[#This Row],[Назва обладнання]]</f>
        <v>Гайка шліцева Дн-50</v>
      </c>
      <c r="C54" s="238">
        <f>Інвестиції[[#This Row],[Кількість, шт]]</f>
        <v>19</v>
      </c>
      <c r="D54" s="239">
        <f>Інвестиції[[#This Row],[Вартість одиниці з ПДВ, грн.]]*0.83333</f>
        <v>116.6662</v>
      </c>
      <c r="E54" s="239">
        <f>Таблица3[[#This Row],[Кількість, шт]]*Таблица3[[#This Row],[Вартість одиниці без ПДВ, грн.]]</f>
        <v>2216.6578</v>
      </c>
      <c r="F54" s="235">
        <f>Таблица3[[#This Row],[Загальна вартість без ПДВ, грн.]]/Інвестиції[[#This Row],[Доцільний термін експлуатації, років]]</f>
        <v>316.66539999999998</v>
      </c>
    </row>
    <row r="55" spans="1:6" x14ac:dyDescent="0.3">
      <c r="A55" s="237">
        <f>Інвестиції!A55</f>
        <v>44</v>
      </c>
      <c r="B55" s="237" t="str">
        <f>Інвестиції[[#This Row],[Назва обладнання]]</f>
        <v>Ущільнення Дн-40</v>
      </c>
      <c r="C55" s="238">
        <f>Інвестиції[[#This Row],[Кількість, шт]]</f>
        <v>40</v>
      </c>
      <c r="D55" s="239">
        <f>Інвестиції[[#This Row],[Вартість одиниці з ПДВ, грн.]]*0.83333</f>
        <v>8.3332999999999995</v>
      </c>
      <c r="E55" s="239">
        <f>Таблица3[[#This Row],[Кількість, шт]]*Таблица3[[#This Row],[Вартість одиниці без ПДВ, грн.]]</f>
        <v>333.33199999999999</v>
      </c>
      <c r="F55" s="235">
        <f>Таблица3[[#This Row],[Загальна вартість без ПДВ, грн.]]/Інвестиції[[#This Row],[Доцільний термін експлуатації, років]]</f>
        <v>47.618857142857145</v>
      </c>
    </row>
    <row r="56" spans="1:6" x14ac:dyDescent="0.3">
      <c r="A56" s="237">
        <f>Інвестиції!A56</f>
        <v>45</v>
      </c>
      <c r="B56" s="237" t="str">
        <f>Інвестиції[[#This Row],[Назва обладнання]]</f>
        <v>Ущільнення Дн-50</v>
      </c>
      <c r="C56" s="238">
        <f>Інвестиції[[#This Row],[Кількість, шт]]</f>
        <v>50</v>
      </c>
      <c r="D56" s="239">
        <f>Інвестиції[[#This Row],[Вартість одиниці з ПДВ, грн.]]*0.83333</f>
        <v>12.49995</v>
      </c>
      <c r="E56" s="239">
        <f>Таблица3[[#This Row],[Кількість, шт]]*Таблица3[[#This Row],[Вартість одиниці без ПДВ, грн.]]</f>
        <v>624.99750000000006</v>
      </c>
      <c r="F56" s="235">
        <f>Таблица3[[#This Row],[Загальна вартість без ПДВ, грн.]]/Інвестиції[[#This Row],[Доцільний термін експлуатації, років]]</f>
        <v>89.285357142857151</v>
      </c>
    </row>
    <row r="57" spans="1:6" x14ac:dyDescent="0.3">
      <c r="A57" s="237">
        <f>Інвестиції!A57</f>
        <v>46</v>
      </c>
      <c r="B57" s="237" t="str">
        <f>Інвестиції[[#This Row],[Назва обладнання]]</f>
        <v>Штуцер конічний Дн-40</v>
      </c>
      <c r="C57" s="238">
        <f>Інвестиції[[#This Row],[Кількість, шт]]</f>
        <v>77</v>
      </c>
      <c r="D57" s="239">
        <f>Інвестиції[[#This Row],[Вартість одиниці з ПДВ, грн.]]*0.83333</f>
        <v>66.666399999999996</v>
      </c>
      <c r="E57" s="239">
        <f>Таблица3[[#This Row],[Кількість, шт]]*Таблица3[[#This Row],[Вартість одиниці без ПДВ, грн.]]</f>
        <v>5133.3127999999997</v>
      </c>
      <c r="F57" s="235">
        <f>Таблица3[[#This Row],[Загальна вартість без ПДВ, грн.]]/Інвестиції[[#This Row],[Доцільний термін експлуатації, років]]</f>
        <v>733.33039999999994</v>
      </c>
    </row>
    <row r="58" spans="1:6" x14ac:dyDescent="0.3">
      <c r="A58" s="237">
        <f>Інвестиції!A58</f>
        <v>47</v>
      </c>
      <c r="B58" s="237" t="str">
        <f>Інвестиції[[#This Row],[Назва обладнання]]</f>
        <v>Штуцер конічний Дн-50</v>
      </c>
      <c r="C58" s="238">
        <f>Інвестиції[[#This Row],[Кількість, шт]]</f>
        <v>19</v>
      </c>
      <c r="D58" s="239">
        <f>Інвестиції[[#This Row],[Вартість одиниці з ПДВ, грн.]]*0.83333</f>
        <v>74.999700000000004</v>
      </c>
      <c r="E58" s="239">
        <f>Таблица3[[#This Row],[Кількість, шт]]*Таблица3[[#This Row],[Вартість одиниці без ПДВ, грн.]]</f>
        <v>1424.9943000000001</v>
      </c>
      <c r="F58" s="235">
        <f>Таблица3[[#This Row],[Загальна вартість без ПДВ, грн.]]/Інвестиції[[#This Row],[Доцільний термін експлуатації, років]]</f>
        <v>203.5706142857143</v>
      </c>
    </row>
    <row r="59" spans="1:6" x14ac:dyDescent="0.3">
      <c r="A59" s="237">
        <f>Інвестиції!A59</f>
        <v>48</v>
      </c>
      <c r="B59" s="237" t="str">
        <f>Інвестиції[[#This Row],[Назва обладнання]]</f>
        <v>Штуце різьбовий Дн-50</v>
      </c>
      <c r="C59" s="238">
        <f>Інвестиції[[#This Row],[Кількість, шт]]</f>
        <v>10</v>
      </c>
      <c r="D59" s="239">
        <f>Інвестиції[[#This Row],[Вартість одиниці з ПДВ, грн.]]*0.83333</f>
        <v>99.999600000000001</v>
      </c>
      <c r="E59" s="239">
        <f>Таблица3[[#This Row],[Кількість, шт]]*Таблица3[[#This Row],[Вартість одиниці без ПДВ, грн.]]</f>
        <v>999.99599999999998</v>
      </c>
      <c r="F59" s="235">
        <f>Таблица3[[#This Row],[Загальна вартість без ПДВ, грн.]]/Інвестиції[[#This Row],[Доцільний термін експлуатації, років]]</f>
        <v>142.85657142857141</v>
      </c>
    </row>
    <row r="60" spans="1:6" x14ac:dyDescent="0.3">
      <c r="A60" s="237">
        <f>Інвестиції!A60</f>
        <v>49</v>
      </c>
      <c r="B60" s="237" t="str">
        <f>Інвестиції[[#This Row],[Назва обладнання]]</f>
        <v>Штуце різьбовий Дн-40</v>
      </c>
      <c r="C60" s="238">
        <f>Інвестиції[[#This Row],[Кількість, шт]]</f>
        <v>30</v>
      </c>
      <c r="D60" s="239">
        <f>Інвестиції[[#This Row],[Вартість одиниці з ПДВ, грн.]]*0.83333</f>
        <v>91.666300000000007</v>
      </c>
      <c r="E60" s="239">
        <f>Таблица3[[#This Row],[Кількість, шт]]*Таблица3[[#This Row],[Вартість одиниці без ПДВ, грн.]]</f>
        <v>2749.989</v>
      </c>
      <c r="F60" s="235">
        <f>Таблица3[[#This Row],[Загальна вартість без ПДВ, грн.]]/Інвестиції[[#This Row],[Доцільний термін експлуатації, років]]</f>
        <v>392.85557142857141</v>
      </c>
    </row>
    <row r="61" spans="1:6" x14ac:dyDescent="0.3">
      <c r="A61" s="237">
        <f>Інвестиції!A61</f>
        <v>50</v>
      </c>
      <c r="B61" s="237" t="str">
        <f>Інвестиції[[#This Row],[Назва обладнання]]</f>
        <v>Діоптр Д-50</v>
      </c>
      <c r="C61" s="238">
        <f>Інвестиції[[#This Row],[Кількість, шт]]</f>
        <v>1</v>
      </c>
      <c r="D61" s="239">
        <f>Інвестиції[[#This Row],[Вартість одиниці з ПДВ, грн.]]*0.83333</f>
        <v>833.33</v>
      </c>
      <c r="E61" s="239">
        <f>Таблица3[[#This Row],[Кількість, шт]]*Таблица3[[#This Row],[Вартість одиниці без ПДВ, грн.]]</f>
        <v>833.33</v>
      </c>
      <c r="F61" s="235">
        <f>Таблица3[[#This Row],[Загальна вартість без ПДВ, грн.]]/Інвестиції[[#This Row],[Доцільний термін експлуатації, років]]</f>
        <v>119.04714285714286</v>
      </c>
    </row>
    <row r="62" spans="1:6" x14ac:dyDescent="0.3">
      <c r="A62" s="237">
        <f>Інвестиції!A62</f>
        <v>51</v>
      </c>
      <c r="B62" s="237" t="str">
        <f>Інвестиції[[#This Row],[Назва обладнання]]</f>
        <v>Діоптр Д-40</v>
      </c>
      <c r="C62" s="238">
        <f>Інвестиції[[#This Row],[Кількість, шт]]</f>
        <v>1</v>
      </c>
      <c r="D62" s="239">
        <f>Інвестиції[[#This Row],[Вартість одиниці з ПДВ, грн.]]*0.83333</f>
        <v>833.33</v>
      </c>
      <c r="E62" s="239">
        <f>Таблица3[[#This Row],[Кількість, шт]]*Таблица3[[#This Row],[Вартість одиниці без ПДВ, грн.]]</f>
        <v>833.33</v>
      </c>
      <c r="F62" s="235">
        <f>Таблица3[[#This Row],[Загальна вартість без ПДВ, грн.]]/Інвестиції[[#This Row],[Доцільний термін експлуатації, років]]</f>
        <v>119.04714285714286</v>
      </c>
    </row>
    <row r="63" spans="1:6" x14ac:dyDescent="0.3">
      <c r="A63" s="237">
        <f>Інвестиції!A63</f>
        <v>52</v>
      </c>
      <c r="B63" s="237" t="str">
        <f>Інвестиції[[#This Row],[Назва обладнання]]</f>
        <v>Перехід ексцентричний  40х52</v>
      </c>
      <c r="C63" s="238">
        <f>Інвестиції[[#This Row],[Кількість, шт]]</f>
        <v>12</v>
      </c>
      <c r="D63" s="239">
        <f>Інвестиції[[#This Row],[Вартість одиниці з ПДВ, грн.]]*0.83333</f>
        <v>74.999700000000004</v>
      </c>
      <c r="E63" s="239">
        <f>Таблица3[[#This Row],[Кількість, шт]]*Таблица3[[#This Row],[Вартість одиниці без ПДВ, грн.]]</f>
        <v>899.99639999999999</v>
      </c>
      <c r="F63" s="235">
        <f>Таблица3[[#This Row],[Загальна вартість без ПДВ, грн.]]/Інвестиції[[#This Row],[Доцільний термін експлуатації, років]]</f>
        <v>128.57091428571428</v>
      </c>
    </row>
    <row r="64" spans="1:6" x14ac:dyDescent="0.3">
      <c r="A64" s="237">
        <f>Інвестиції!A64</f>
        <v>53</v>
      </c>
      <c r="B64" s="237" t="str">
        <f>Інвестиції[[#This Row],[Назва обладнання]]</f>
        <v xml:space="preserve">Хомут 40  н/ж 304 </v>
      </c>
      <c r="C64" s="238">
        <f>Інвестиції[[#This Row],[Кількість, шт]]</f>
        <v>50</v>
      </c>
      <c r="D64" s="239">
        <f>Інвестиції[[#This Row],[Вартість одиниці з ПДВ, грн.]]*0.83333</f>
        <v>49.9998</v>
      </c>
      <c r="E64" s="239">
        <f>Таблица3[[#This Row],[Кількість, шт]]*Таблица3[[#This Row],[Вартість одиниці без ПДВ, грн.]]</f>
        <v>2499.9900000000002</v>
      </c>
      <c r="F64" s="235">
        <f>Таблица3[[#This Row],[Загальна вартість без ПДВ, грн.]]/Інвестиції[[#This Row],[Доцільний термін експлуатації, років]]</f>
        <v>357.14142857142861</v>
      </c>
    </row>
    <row r="65" spans="1:6" x14ac:dyDescent="0.3">
      <c r="A65" s="237">
        <f>Інвестиції!A65</f>
        <v>54</v>
      </c>
      <c r="B65" s="237" t="str">
        <f>Інвестиції[[#This Row],[Назва обладнання]]</f>
        <v xml:space="preserve">Хомут 50  н/ж 304 </v>
      </c>
      <c r="C65" s="238">
        <f>Інвестиції[[#This Row],[Кількість, шт]]</f>
        <v>20</v>
      </c>
      <c r="D65" s="239">
        <f>Інвестиції[[#This Row],[Вартість одиниці з ПДВ, грн.]]*0.83333</f>
        <v>58.333100000000002</v>
      </c>
      <c r="E65" s="239">
        <f>Таблица3[[#This Row],[Кількість, шт]]*Таблица3[[#This Row],[Вартість одиниці без ПДВ, грн.]]</f>
        <v>1166.662</v>
      </c>
      <c r="F65" s="235">
        <f>Таблица3[[#This Row],[Загальна вартість без ПДВ, грн.]]/Інвестиції[[#This Row],[Доцільний термін експлуатації, років]]</f>
        <v>166.666</v>
      </c>
    </row>
    <row r="66" spans="1:6" s="236" customFormat="1" x14ac:dyDescent="0.3">
      <c r="A66" s="240"/>
      <c r="B66" s="240" t="str">
        <f>Інвестиції[[#This Row],[Назва обладнання]]</f>
        <v>ЕЛЕКТРИЧНІ ПРИСТОСУВАННЯ</v>
      </c>
      <c r="C66" s="238">
        <f>Інвестиції[[#This Row],[Кількість, шт]]</f>
        <v>0</v>
      </c>
      <c r="D66" s="239">
        <f>Інвестиції[[#This Row],[Вартість одиниці з ПДВ, грн.]]*0.83333</f>
        <v>0</v>
      </c>
      <c r="E66" s="239">
        <f>Таблица3[[#This Row],[Кількість, шт]]*Таблица3[[#This Row],[Вартість одиниці без ПДВ, грн.]]</f>
        <v>0</v>
      </c>
      <c r="F66" s="235"/>
    </row>
    <row r="67" spans="1:6" x14ac:dyDescent="0.3">
      <c r="A67" s="237">
        <f>Інвестиції!A67</f>
        <v>55</v>
      </c>
      <c r="B67" s="237" t="str">
        <f>Інвестиції[[#This Row],[Назва обладнання]]</f>
        <v>Лоток н/ж електрокабеля 100х50</v>
      </c>
      <c r="C67" s="238">
        <f>Інвестиції[[#This Row],[Кількість, шт]]</f>
        <v>100</v>
      </c>
      <c r="D67" s="239">
        <f>Інвестиції[[#This Row],[Вартість одиниці з ПДВ, грн.]]*0.83333</f>
        <v>233.33240000000001</v>
      </c>
      <c r="E67" s="239">
        <f>Таблица3[[#This Row],[Кількість, шт]]*Таблица3[[#This Row],[Вартість одиниці без ПДВ, грн.]]</f>
        <v>23333.24</v>
      </c>
      <c r="F67" s="235">
        <f>Таблица3[[#This Row],[Загальна вартість без ПДВ, грн.]]/Інвестиції[[#This Row],[Доцільний термін експлуатації, років]]</f>
        <v>3333.32</v>
      </c>
    </row>
    <row r="68" spans="1:6" x14ac:dyDescent="0.3">
      <c r="A68" s="237">
        <f>Інвестиції!A68</f>
        <v>56</v>
      </c>
      <c r="B68" s="237" t="str">
        <f>Інвестиції[[#This Row],[Назва обладнання]]</f>
        <v>Лоток н/ж електрокабеля 50х50</v>
      </c>
      <c r="C68" s="238">
        <f>Інвестиції[[#This Row],[Кількість, шт]]</f>
        <v>120</v>
      </c>
      <c r="D68" s="239">
        <f>Інвестиції[[#This Row],[Вартість одиниці з ПДВ, грн.]]*0.83333</f>
        <v>191.66589999999999</v>
      </c>
      <c r="E68" s="239">
        <f>Таблица3[[#This Row],[Кількість, шт]]*Таблица3[[#This Row],[Вартість одиниці без ПДВ, грн.]]</f>
        <v>22999.907999999999</v>
      </c>
      <c r="F68" s="235">
        <f>Таблица3[[#This Row],[Загальна вартість без ПДВ, грн.]]/Інвестиції[[#This Row],[Доцільний термін експлуатації, років]]</f>
        <v>3285.7011428571427</v>
      </c>
    </row>
    <row r="69" spans="1:6" s="236" customFormat="1" x14ac:dyDescent="0.3">
      <c r="A69" s="240"/>
      <c r="B69" s="240" t="str">
        <f>Інвестиції[[#This Row],[Назва обладнання]]</f>
        <v>ВЕНТИЛЯЦІЙНЕ ОБЛАДНАННЯ</v>
      </c>
      <c r="C69" s="238">
        <f>Інвестиції[[#This Row],[Кількість, шт]]</f>
        <v>0</v>
      </c>
      <c r="D69" s="239">
        <f>Інвестиції[[#This Row],[Вартість одиниці з ПДВ, грн.]]*0.83333</f>
        <v>0</v>
      </c>
      <c r="E69" s="239">
        <f>Таблица3[[#This Row],[Кількість, шт]]*Таблица3[[#This Row],[Вартість одиниці без ПДВ, грн.]]</f>
        <v>0</v>
      </c>
      <c r="F69" s="235"/>
    </row>
    <row r="70" spans="1:6" x14ac:dyDescent="0.3">
      <c r="A70" s="237">
        <f>Інвестиції!A70</f>
        <v>57</v>
      </c>
      <c r="B70" s="237" t="str">
        <f>Інвестиції[[#This Row],[Назва обладнання]]</f>
        <v>Система припливно-витяжної вентиляції цеху</v>
      </c>
      <c r="C70" s="238">
        <f>Інвестиції[[#This Row],[Кількість, шт]]</f>
        <v>1</v>
      </c>
      <c r="D70" s="239">
        <f>Інвестиції[[#This Row],[Вартість одиниці з ПДВ, грн.]]*0.83333</f>
        <v>74999.7</v>
      </c>
      <c r="E70" s="239">
        <f>Таблица3[[#This Row],[Кількість, шт]]*Таблица3[[#This Row],[Вартість одиниці без ПДВ, грн.]]</f>
        <v>74999.7</v>
      </c>
      <c r="F70" s="235">
        <f>Таблица3[[#This Row],[Загальна вартість без ПДВ, грн.]]/Інвестиції[[#This Row],[Доцільний термін експлуатації, років]]</f>
        <v>10714.242857142857</v>
      </c>
    </row>
    <row r="71" spans="1:6" s="236" customFormat="1" x14ac:dyDescent="0.3">
      <c r="A71" s="240"/>
      <c r="B71" s="240" t="str">
        <f>Інвестиції[[#This Row],[Назва обладнання]]</f>
        <v>НАДАННЯ ПОСЛУГ</v>
      </c>
      <c r="C71" s="238">
        <f>Інвестиції[[#This Row],[Кількість, шт]]</f>
        <v>0</v>
      </c>
      <c r="D71" s="239">
        <f>Інвестиції[[#This Row],[Вартість одиниці з ПДВ, грн.]]*0.83333</f>
        <v>0</v>
      </c>
      <c r="E71" s="239">
        <f>Таблица3[[#This Row],[Кількість, шт]]*Таблица3[[#This Row],[Вартість одиниці без ПДВ, грн.]]</f>
        <v>0</v>
      </c>
      <c r="F71" s="235"/>
    </row>
    <row r="72" spans="1:6" x14ac:dyDescent="0.3">
      <c r="A72" s="237">
        <f>Інвестиції!A72</f>
        <v>28</v>
      </c>
      <c r="B72" s="237" t="str">
        <f>Інвестиції[[#This Row],[Назва обладнання]]</f>
        <v xml:space="preserve">Монтаж обладнання </v>
      </c>
      <c r="C72" s="238">
        <f>Інвестиції[[#This Row],[Кількість, шт]]</f>
        <v>1</v>
      </c>
      <c r="D72" s="239">
        <f>Інвестиції[[#This Row],[Вартість одиниці з ПДВ, грн.]]*0.83333</f>
        <v>70833.05</v>
      </c>
      <c r="E72" s="239">
        <f>Таблица3[[#This Row],[Кількість, шт]]*Таблица3[[#This Row],[Вартість одиниці без ПДВ, грн.]]</f>
        <v>70833.05</v>
      </c>
      <c r="F72" s="235">
        <f>Таблица3[[#This Row],[Загальна вартість без ПДВ, грн.]]/Інвестиції[[#This Row],[Доцільний термін експлуатації, років]]</f>
        <v>10119.007142857143</v>
      </c>
    </row>
    <row r="73" spans="1:6" x14ac:dyDescent="0.3">
      <c r="A73" s="237">
        <f>Інвестиції!A73</f>
        <v>29</v>
      </c>
      <c r="B73" s="237" t="str">
        <f>Інвестиції[[#This Row],[Назва обладнання]]</f>
        <v xml:space="preserve">Монтаж трубопроводів молочних </v>
      </c>
      <c r="C73" s="238">
        <f>Інвестиції[[#This Row],[Кількість, шт]]</f>
        <v>1</v>
      </c>
      <c r="D73" s="239">
        <f>Інвестиції[[#This Row],[Вартість одиниці з ПДВ, грн.]]*0.83333</f>
        <v>208332.5</v>
      </c>
      <c r="E73" s="239">
        <f>Таблица3[[#This Row],[Кількість, шт]]*Таблица3[[#This Row],[Вартість одиниці без ПДВ, грн.]]</f>
        <v>208332.5</v>
      </c>
      <c r="F73" s="235">
        <f>Таблица3[[#This Row],[Загальна вартість без ПДВ, грн.]]/Інвестиції[[#This Row],[Доцільний термін експлуатації, років]]</f>
        <v>29761.785714285714</v>
      </c>
    </row>
    <row r="74" spans="1:6" x14ac:dyDescent="0.3">
      <c r="A74" s="237">
        <f>Інвестиції!A74</f>
        <v>60</v>
      </c>
      <c r="B74" s="237" t="str">
        <f>Інвестиції[[#This Row],[Назва обладнання]]</f>
        <v>Монтаж електрики КВПіА</v>
      </c>
      <c r="C74" s="238">
        <f>Інвестиції[[#This Row],[Кількість, шт]]</f>
        <v>1</v>
      </c>
      <c r="D74" s="239">
        <f>Інвестиції[[#This Row],[Вартість одиниці з ПДВ, грн.]]*0.83333</f>
        <v>45833.15</v>
      </c>
      <c r="E74" s="239">
        <f>Таблица3[[#This Row],[Кількість, шт]]*Таблица3[[#This Row],[Вартість одиниці без ПДВ, грн.]]</f>
        <v>45833.15</v>
      </c>
      <c r="F74" s="235">
        <f>Таблица3[[#This Row],[Загальна вартість без ПДВ, грн.]]/Інвестиції[[#This Row],[Доцільний термін експлуатації, років]]</f>
        <v>6547.5928571428576</v>
      </c>
    </row>
    <row r="75" spans="1:6" x14ac:dyDescent="0.3">
      <c r="A75" s="237">
        <f>Інвестиції!A75</f>
        <v>61</v>
      </c>
      <c r="B75" s="237" t="str">
        <f>Інвестиції[[#This Row],[Назва обладнання]]</f>
        <v xml:space="preserve">Пусконалагоджувальні роботи </v>
      </c>
      <c r="C75" s="238">
        <f>Інвестиції[[#This Row],[Кількість, шт]]</f>
        <v>1</v>
      </c>
      <c r="D75" s="239">
        <f>Інвестиції[[#This Row],[Вартість одиниці з ПДВ, грн.]]*0.83333</f>
        <v>99999.6</v>
      </c>
      <c r="E75" s="239">
        <f>Таблица3[[#This Row],[Кількість, шт]]*Таблица3[[#This Row],[Вартість одиниці без ПДВ, грн.]]</f>
        <v>99999.6</v>
      </c>
      <c r="F75" s="235">
        <f>Таблица3[[#This Row],[Загальна вартість без ПДВ, грн.]]/Інвестиції[[#This Row],[Доцільний термін експлуатації, років]]</f>
        <v>14285.657142857144</v>
      </c>
    </row>
    <row r="76" spans="1:6" s="236" customFormat="1" x14ac:dyDescent="0.3">
      <c r="A76" s="240"/>
      <c r="B76" s="240" t="str">
        <f>Інвестиції[[#This Row],[Назва обладнання]]</f>
        <v>ОБЛАДНАННЯ КОТЕЛЬНІ</v>
      </c>
      <c r="C76" s="238">
        <f>Інвестиції[[#This Row],[Кількість, шт]]</f>
        <v>0</v>
      </c>
      <c r="D76" s="239">
        <f>Інвестиції[[#This Row],[Вартість одиниці з ПДВ, грн.]]*0.83333</f>
        <v>0</v>
      </c>
      <c r="E76" s="239">
        <f>Таблица3[[#This Row],[Кількість, шт]]*Таблица3[[#This Row],[Вартість одиниці без ПДВ, грн.]]</f>
        <v>0</v>
      </c>
      <c r="F76" s="235"/>
    </row>
    <row r="77" spans="1:6" x14ac:dyDescent="0.3">
      <c r="A77" s="237">
        <f>Інвестиції!A77</f>
        <v>62</v>
      </c>
      <c r="B77" s="237" t="str">
        <f>Інвестиції[[#This Row],[Назва обладнання]]</f>
        <v>Котел промисловий</v>
      </c>
      <c r="C77" s="238">
        <f>Інвестиції[[#This Row],[Кількість, шт]]</f>
        <v>1</v>
      </c>
      <c r="D77" s="239">
        <f>Інвестиції[[#This Row],[Вартість одиниці з ПДВ, грн.]]*0.83333</f>
        <v>116666.2</v>
      </c>
      <c r="E77" s="239">
        <f>Таблица3[[#This Row],[Кількість, шт]]*Таблица3[[#This Row],[Вартість одиниці без ПДВ, грн.]]</f>
        <v>116666.2</v>
      </c>
      <c r="F77" s="235">
        <f>Таблица3[[#This Row],[Загальна вартість без ПДВ, грн.]]/Інвестиції[[#This Row],[Доцільний термін експлуатації, років]]</f>
        <v>16666.599999999999</v>
      </c>
    </row>
    <row r="78" spans="1:6" x14ac:dyDescent="0.3">
      <c r="A78" s="237">
        <f>Інвестиції!A78</f>
        <v>63</v>
      </c>
      <c r="B78" s="237" t="str">
        <f>Інвестиції[[#This Row],[Назва обладнання]]</f>
        <v>Допоміжне обладнання</v>
      </c>
      <c r="C78" s="238">
        <f>Інвестиції[[#This Row],[Кількість, шт]]</f>
        <v>1</v>
      </c>
      <c r="D78" s="239">
        <f>Інвестиції[[#This Row],[Вартість одиниці з ПДВ, грн.]]*0.83333</f>
        <v>33333.199999999997</v>
      </c>
      <c r="E78" s="239">
        <f>Таблица3[[#This Row],[Кількість, шт]]*Таблица3[[#This Row],[Вартість одиниці без ПДВ, грн.]]</f>
        <v>33333.199999999997</v>
      </c>
      <c r="F78" s="235">
        <f>Таблица3[[#This Row],[Загальна вартість без ПДВ, грн.]]/Інвестиції[[#This Row],[Доцільний термін експлуатації, років]]</f>
        <v>4761.8857142857141</v>
      </c>
    </row>
    <row r="79" spans="1:6" x14ac:dyDescent="0.3">
      <c r="A79" s="237">
        <f>Інвестиції!A79</f>
        <v>64</v>
      </c>
      <c r="B79" s="237" t="str">
        <f>Інвестиції[[#This Row],[Назва обладнання]]</f>
        <v>Насосна станція</v>
      </c>
      <c r="C79" s="238">
        <f>Інвестиції[[#This Row],[Кількість, шт]]</f>
        <v>1</v>
      </c>
      <c r="D79" s="239">
        <f>Інвестиції[[#This Row],[Вартість одиниці з ПДВ, грн.]]*0.83333</f>
        <v>16666.599999999999</v>
      </c>
      <c r="E79" s="239">
        <f>Таблица3[[#This Row],[Кількість, шт]]*Таблица3[[#This Row],[Вартість одиниці без ПДВ, грн.]]</f>
        <v>16666.599999999999</v>
      </c>
      <c r="F79" s="235">
        <f>Таблица3[[#This Row],[Загальна вартість без ПДВ, грн.]]/Інвестиції[[#This Row],[Доцільний термін експлуатації, років]]</f>
        <v>2380.9428571428571</v>
      </c>
    </row>
    <row r="80" spans="1:6" x14ac:dyDescent="0.3">
      <c r="A80" s="237">
        <f>Інвестиції!A80</f>
        <v>65</v>
      </c>
      <c r="B80" s="237" t="str">
        <f>Інвестиції[[#This Row],[Назва обладнання]]</f>
        <v xml:space="preserve">Монтаж обладнання </v>
      </c>
      <c r="C80" s="238">
        <f>Інвестиції[[#This Row],[Кількість, шт]]</f>
        <v>1</v>
      </c>
      <c r="D80" s="239">
        <f>Інвестиції[[#This Row],[Вартість одиниці з ПДВ, грн.]]*0.83333</f>
        <v>24999.9</v>
      </c>
      <c r="E80" s="239">
        <f>Таблица3[[#This Row],[Кількість, шт]]*Таблица3[[#This Row],[Вартість одиниці без ПДВ, грн.]]</f>
        <v>24999.9</v>
      </c>
      <c r="F80" s="235">
        <f>Таблица3[[#This Row],[Загальна вартість без ПДВ, грн.]]/Інвестиції[[#This Row],[Доцільний термін експлуатації, років]]</f>
        <v>3571.4142857142861</v>
      </c>
    </row>
    <row r="81" spans="1:6" s="236" customFormat="1" x14ac:dyDescent="0.3">
      <c r="A81" s="240"/>
      <c r="B81" s="240" t="str">
        <f>Інвестиції[[#This Row],[Назва обладнання]]</f>
        <v>БУДІВЕЛЬНО-РЕМОНТНІ РОБОТИ</v>
      </c>
      <c r="C81" s="238">
        <f>Інвестиції[[#This Row],[Кількість, шт]]</f>
        <v>0</v>
      </c>
      <c r="D81" s="239">
        <f>Інвестиції[[#This Row],[Вартість одиниці з ПДВ, грн.]]*0.83333</f>
        <v>0</v>
      </c>
      <c r="E81" s="239">
        <f>Таблица3[[#This Row],[Кількість, шт]]*Таблица3[[#This Row],[Вартість одиниці без ПДВ, грн.]]</f>
        <v>0</v>
      </c>
      <c r="F81" s="235"/>
    </row>
    <row r="82" spans="1:6" x14ac:dyDescent="0.3">
      <c r="A82" s="237">
        <f>Інвестиції!A82</f>
        <v>66</v>
      </c>
      <c r="B82" s="237" t="str">
        <f>Інвестиції[[#This Row],[Назва обладнання]]</f>
        <v>Будівельні роботи</v>
      </c>
      <c r="C82" s="238">
        <f>Інвестиції[[#This Row],[Кількість, шт]]</f>
        <v>1</v>
      </c>
      <c r="D82" s="239">
        <f>Інвестиції[[#This Row],[Вартість одиниці з ПДВ, грн.]]*0.83333</f>
        <v>249999</v>
      </c>
      <c r="E82" s="239">
        <f>Таблица3[[#This Row],[Кількість, шт]]*Таблица3[[#This Row],[Вартість одиниці без ПДВ, грн.]]</f>
        <v>249999</v>
      </c>
      <c r="F82" s="235">
        <f>Таблица3[[#This Row],[Загальна вартість без ПДВ, грн.]]/Інвестиції[[#This Row],[Доцільний термін експлуатації, років]]</f>
        <v>12499.95</v>
      </c>
    </row>
    <row r="83" spans="1:6" x14ac:dyDescent="0.3">
      <c r="A83" s="237">
        <f>Інвестиції!A83</f>
        <v>67</v>
      </c>
      <c r="B83" s="237" t="str">
        <f>Інвестиції[[#This Row],[Назва обладнання]]</f>
        <v>Ремонтні роботи</v>
      </c>
      <c r="C83" s="238">
        <f>Інвестиції[[#This Row],[Кількість, шт]]</f>
        <v>1</v>
      </c>
      <c r="D83" s="239">
        <f>Інвестиції[[#This Row],[Вартість одиниці з ПДВ, грн.]]*0.83333</f>
        <v>166666</v>
      </c>
      <c r="E83" s="239">
        <f>Таблица3[[#This Row],[Кількість, шт]]*Таблица3[[#This Row],[Вартість одиниці без ПДВ, грн.]]</f>
        <v>166666</v>
      </c>
      <c r="F83" s="235">
        <f>Таблица3[[#This Row],[Загальна вартість без ПДВ, грн.]]/Інвестиції[[#This Row],[Доцільний термін експлуатації, років]]</f>
        <v>8333.2999999999993</v>
      </c>
    </row>
    <row r="84" spans="1:6" s="236" customFormat="1" x14ac:dyDescent="0.3">
      <c r="A84" s="240"/>
      <c r="B84" s="240" t="str">
        <f>Інвестиції[[#This Row],[Назва обладнання]]</f>
        <v>АВТОТРАНСПОРТ</v>
      </c>
      <c r="C84" s="238">
        <f>Інвестиції[[#This Row],[Кількість, шт]]</f>
        <v>0</v>
      </c>
      <c r="D84" s="239">
        <f>Інвестиції[[#This Row],[Вартість одиниці з ПДВ, грн.]]*0.83333</f>
        <v>0</v>
      </c>
      <c r="E84" s="239">
        <f>Таблица3[[#This Row],[Кількість, шт]]*Таблица3[[#This Row],[Вартість одиниці без ПДВ, грн.]]</f>
        <v>0</v>
      </c>
      <c r="F84" s="235"/>
    </row>
    <row r="85" spans="1:6" x14ac:dyDescent="0.3">
      <c r="A85" s="237">
        <f>Інвестиції!A85</f>
        <v>68</v>
      </c>
      <c r="B85" s="237" t="str">
        <f>Інвестиції[[#This Row],[Назва обладнання]]</f>
        <v>Молоковоз</v>
      </c>
      <c r="C85" s="238">
        <f>Інвестиції[[#This Row],[Кількість, шт]]</f>
        <v>1</v>
      </c>
      <c r="D85" s="239">
        <f>Інвестиції[[#This Row],[Вартість одиниці з ПДВ, грн.]]*0.83333</f>
        <v>583331</v>
      </c>
      <c r="E85" s="239">
        <f>Таблица3[[#This Row],[Кількість, шт]]*Таблица3[[#This Row],[Вартість одиниці без ПДВ, грн.]]</f>
        <v>583331</v>
      </c>
      <c r="F85" s="235">
        <f>Таблица3[[#This Row],[Загальна вартість без ПДВ, грн.]]/Інвестиції[[#This Row],[Доцільний термін експлуатації, років]]</f>
        <v>83333</v>
      </c>
    </row>
    <row r="86" spans="1:6" x14ac:dyDescent="0.3">
      <c r="A86" s="241">
        <f>Інвестиції!A86</f>
        <v>69</v>
      </c>
      <c r="B86" s="241" t="str">
        <f>Інвестиції[[#This Row],[Назва обладнання]]</f>
        <v>Рефрижератор</v>
      </c>
      <c r="C86" s="238">
        <f>Інвестиції[[#This Row],[Кількість, шт]]</f>
        <v>1</v>
      </c>
      <c r="D86" s="239">
        <f>Інвестиції[[#This Row],[Вартість одиниці з ПДВ, грн.]]*0.83333</f>
        <v>666664</v>
      </c>
      <c r="E86" s="239">
        <f>Таблица3[[#This Row],[Кількість, шт]]*Таблица3[[#This Row],[Вартість одиниці без ПДВ, грн.]]</f>
        <v>666664</v>
      </c>
      <c r="F86" s="235">
        <f>Таблица3[[#This Row],[Загальна вартість без ПДВ, грн.]]/Інвестиції[[#This Row],[Доцільний термін експлуатації, років]]</f>
        <v>95237.71428571429</v>
      </c>
    </row>
    <row r="87" spans="1:6" x14ac:dyDescent="0.3">
      <c r="A87" s="242" t="s">
        <v>319</v>
      </c>
      <c r="B87" s="242"/>
      <c r="C87" s="243"/>
      <c r="D87" s="244"/>
      <c r="E87" s="245"/>
      <c r="F87" s="246">
        <f>SUBTOTAL(109,Таблица3[Величина щорічних амортизаційних відрахувань, грн.])</f>
        <v>697190.22710095241</v>
      </c>
    </row>
  </sheetData>
  <sheetProtection algorithmName="SHA-512" hashValue="XN0Gj5abZD6RKEJKqDH6UH5mjzm6OZiZ5WYCWHxv9Rvgr1LAjR9FObN7J+jDF5YVTKgXtYTbCmK0GWMwEApD/w==" saltValue="pDQJ3FsDkbf8UFjU1j47rw==" spinCount="100000" sheet="1" objects="1" scenarios="1"/>
  <mergeCells count="4">
    <mergeCell ref="A1:F1"/>
    <mergeCell ref="I2:J2"/>
    <mergeCell ref="I3:N4"/>
    <mergeCell ref="I6:N15"/>
  </mergeCells>
  <pageMargins left="0.7" right="0.7" top="0.75" bottom="0.75" header="0.3" footer="0.3"/>
  <pageSetup paperSize="9" orientation="portrait" r:id="rId1"/>
  <ignoredErrors>
    <ignoredError sqref="C3 D4:D86 E4:E86" calculatedColumn="1"/>
  </ignoredErrors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F0"/>
  </sheetPr>
  <dimension ref="A1:J28"/>
  <sheetViews>
    <sheetView workbookViewId="0">
      <selection activeCell="G19" sqref="G19"/>
    </sheetView>
  </sheetViews>
  <sheetFormatPr defaultRowHeight="14.4" x14ac:dyDescent="0.3"/>
  <cols>
    <col min="1" max="1" width="54.5546875" style="4" customWidth="1"/>
    <col min="2" max="2" width="14.33203125" style="224" customWidth="1"/>
    <col min="3" max="256" width="9.109375" style="4"/>
    <col min="257" max="257" width="58.5546875" style="4" customWidth="1"/>
    <col min="258" max="258" width="22.33203125" style="4" customWidth="1"/>
    <col min="259" max="512" width="9.109375" style="4"/>
    <col min="513" max="513" width="58.5546875" style="4" customWidth="1"/>
    <col min="514" max="514" width="22.33203125" style="4" customWidth="1"/>
    <col min="515" max="768" width="9.109375" style="4"/>
    <col min="769" max="769" width="58.5546875" style="4" customWidth="1"/>
    <col min="770" max="770" width="22.33203125" style="4" customWidth="1"/>
    <col min="771" max="1024" width="9.109375" style="4"/>
    <col min="1025" max="1025" width="58.5546875" style="4" customWidth="1"/>
    <col min="1026" max="1026" width="22.33203125" style="4" customWidth="1"/>
    <col min="1027" max="1280" width="9.109375" style="4"/>
    <col min="1281" max="1281" width="58.5546875" style="4" customWidth="1"/>
    <col min="1282" max="1282" width="22.33203125" style="4" customWidth="1"/>
    <col min="1283" max="1536" width="9.109375" style="4"/>
    <col min="1537" max="1537" width="58.5546875" style="4" customWidth="1"/>
    <col min="1538" max="1538" width="22.33203125" style="4" customWidth="1"/>
    <col min="1539" max="1792" width="9.109375" style="4"/>
    <col min="1793" max="1793" width="58.5546875" style="4" customWidth="1"/>
    <col min="1794" max="1794" width="22.33203125" style="4" customWidth="1"/>
    <col min="1795" max="2048" width="9.109375" style="4"/>
    <col min="2049" max="2049" width="58.5546875" style="4" customWidth="1"/>
    <col min="2050" max="2050" width="22.33203125" style="4" customWidth="1"/>
    <col min="2051" max="2304" width="9.109375" style="4"/>
    <col min="2305" max="2305" width="58.5546875" style="4" customWidth="1"/>
    <col min="2306" max="2306" width="22.33203125" style="4" customWidth="1"/>
    <col min="2307" max="2560" width="9.109375" style="4"/>
    <col min="2561" max="2561" width="58.5546875" style="4" customWidth="1"/>
    <col min="2562" max="2562" width="22.33203125" style="4" customWidth="1"/>
    <col min="2563" max="2816" width="9.109375" style="4"/>
    <col min="2817" max="2817" width="58.5546875" style="4" customWidth="1"/>
    <col min="2818" max="2818" width="22.33203125" style="4" customWidth="1"/>
    <col min="2819" max="3072" width="9.109375" style="4"/>
    <col min="3073" max="3073" width="58.5546875" style="4" customWidth="1"/>
    <col min="3074" max="3074" width="22.33203125" style="4" customWidth="1"/>
    <col min="3075" max="3328" width="9.109375" style="4"/>
    <col min="3329" max="3329" width="58.5546875" style="4" customWidth="1"/>
    <col min="3330" max="3330" width="22.33203125" style="4" customWidth="1"/>
    <col min="3331" max="3584" width="9.109375" style="4"/>
    <col min="3585" max="3585" width="58.5546875" style="4" customWidth="1"/>
    <col min="3586" max="3586" width="22.33203125" style="4" customWidth="1"/>
    <col min="3587" max="3840" width="9.109375" style="4"/>
    <col min="3841" max="3841" width="58.5546875" style="4" customWidth="1"/>
    <col min="3842" max="3842" width="22.33203125" style="4" customWidth="1"/>
    <col min="3843" max="4096" width="9.109375" style="4"/>
    <col min="4097" max="4097" width="58.5546875" style="4" customWidth="1"/>
    <col min="4098" max="4098" width="22.33203125" style="4" customWidth="1"/>
    <col min="4099" max="4352" width="9.109375" style="4"/>
    <col min="4353" max="4353" width="58.5546875" style="4" customWidth="1"/>
    <col min="4354" max="4354" width="22.33203125" style="4" customWidth="1"/>
    <col min="4355" max="4608" width="9.109375" style="4"/>
    <col min="4609" max="4609" width="58.5546875" style="4" customWidth="1"/>
    <col min="4610" max="4610" width="22.33203125" style="4" customWidth="1"/>
    <col min="4611" max="4864" width="9.109375" style="4"/>
    <col min="4865" max="4865" width="58.5546875" style="4" customWidth="1"/>
    <col min="4866" max="4866" width="22.33203125" style="4" customWidth="1"/>
    <col min="4867" max="5120" width="9.109375" style="4"/>
    <col min="5121" max="5121" width="58.5546875" style="4" customWidth="1"/>
    <col min="5122" max="5122" width="22.33203125" style="4" customWidth="1"/>
    <col min="5123" max="5376" width="9.109375" style="4"/>
    <col min="5377" max="5377" width="58.5546875" style="4" customWidth="1"/>
    <col min="5378" max="5378" width="22.33203125" style="4" customWidth="1"/>
    <col min="5379" max="5632" width="9.109375" style="4"/>
    <col min="5633" max="5633" width="58.5546875" style="4" customWidth="1"/>
    <col min="5634" max="5634" width="22.33203125" style="4" customWidth="1"/>
    <col min="5635" max="5888" width="9.109375" style="4"/>
    <col min="5889" max="5889" width="58.5546875" style="4" customWidth="1"/>
    <col min="5890" max="5890" width="22.33203125" style="4" customWidth="1"/>
    <col min="5891" max="6144" width="9.109375" style="4"/>
    <col min="6145" max="6145" width="58.5546875" style="4" customWidth="1"/>
    <col min="6146" max="6146" width="22.33203125" style="4" customWidth="1"/>
    <col min="6147" max="6400" width="9.109375" style="4"/>
    <col min="6401" max="6401" width="58.5546875" style="4" customWidth="1"/>
    <col min="6402" max="6402" width="22.33203125" style="4" customWidth="1"/>
    <col min="6403" max="6656" width="9.109375" style="4"/>
    <col min="6657" max="6657" width="58.5546875" style="4" customWidth="1"/>
    <col min="6658" max="6658" width="22.33203125" style="4" customWidth="1"/>
    <col min="6659" max="6912" width="9.109375" style="4"/>
    <col min="6913" max="6913" width="58.5546875" style="4" customWidth="1"/>
    <col min="6914" max="6914" width="22.33203125" style="4" customWidth="1"/>
    <col min="6915" max="7168" width="9.109375" style="4"/>
    <col min="7169" max="7169" width="58.5546875" style="4" customWidth="1"/>
    <col min="7170" max="7170" width="22.33203125" style="4" customWidth="1"/>
    <col min="7171" max="7424" width="9.109375" style="4"/>
    <col min="7425" max="7425" width="58.5546875" style="4" customWidth="1"/>
    <col min="7426" max="7426" width="22.33203125" style="4" customWidth="1"/>
    <col min="7427" max="7680" width="9.109375" style="4"/>
    <col min="7681" max="7681" width="58.5546875" style="4" customWidth="1"/>
    <col min="7682" max="7682" width="22.33203125" style="4" customWidth="1"/>
    <col min="7683" max="7936" width="9.109375" style="4"/>
    <col min="7937" max="7937" width="58.5546875" style="4" customWidth="1"/>
    <col min="7938" max="7938" width="22.33203125" style="4" customWidth="1"/>
    <col min="7939" max="8192" width="9.109375" style="4"/>
    <col min="8193" max="8193" width="58.5546875" style="4" customWidth="1"/>
    <col min="8194" max="8194" width="22.33203125" style="4" customWidth="1"/>
    <col min="8195" max="8448" width="9.109375" style="4"/>
    <col min="8449" max="8449" width="58.5546875" style="4" customWidth="1"/>
    <col min="8450" max="8450" width="22.33203125" style="4" customWidth="1"/>
    <col min="8451" max="8704" width="9.109375" style="4"/>
    <col min="8705" max="8705" width="58.5546875" style="4" customWidth="1"/>
    <col min="8706" max="8706" width="22.33203125" style="4" customWidth="1"/>
    <col min="8707" max="8960" width="9.109375" style="4"/>
    <col min="8961" max="8961" width="58.5546875" style="4" customWidth="1"/>
    <col min="8962" max="8962" width="22.33203125" style="4" customWidth="1"/>
    <col min="8963" max="9216" width="9.109375" style="4"/>
    <col min="9217" max="9217" width="58.5546875" style="4" customWidth="1"/>
    <col min="9218" max="9218" width="22.33203125" style="4" customWidth="1"/>
    <col min="9219" max="9472" width="9.109375" style="4"/>
    <col min="9473" max="9473" width="58.5546875" style="4" customWidth="1"/>
    <col min="9474" max="9474" width="22.33203125" style="4" customWidth="1"/>
    <col min="9475" max="9728" width="9.109375" style="4"/>
    <col min="9729" max="9729" width="58.5546875" style="4" customWidth="1"/>
    <col min="9730" max="9730" width="22.33203125" style="4" customWidth="1"/>
    <col min="9731" max="9984" width="9.109375" style="4"/>
    <col min="9985" max="9985" width="58.5546875" style="4" customWidth="1"/>
    <col min="9986" max="9986" width="22.33203125" style="4" customWidth="1"/>
    <col min="9987" max="10240" width="9.109375" style="4"/>
    <col min="10241" max="10241" width="58.5546875" style="4" customWidth="1"/>
    <col min="10242" max="10242" width="22.33203125" style="4" customWidth="1"/>
    <col min="10243" max="10496" width="9.109375" style="4"/>
    <col min="10497" max="10497" width="58.5546875" style="4" customWidth="1"/>
    <col min="10498" max="10498" width="22.33203125" style="4" customWidth="1"/>
    <col min="10499" max="10752" width="9.109375" style="4"/>
    <col min="10753" max="10753" width="58.5546875" style="4" customWidth="1"/>
    <col min="10754" max="10754" width="22.33203125" style="4" customWidth="1"/>
    <col min="10755" max="11008" width="9.109375" style="4"/>
    <col min="11009" max="11009" width="58.5546875" style="4" customWidth="1"/>
    <col min="11010" max="11010" width="22.33203125" style="4" customWidth="1"/>
    <col min="11011" max="11264" width="9.109375" style="4"/>
    <col min="11265" max="11265" width="58.5546875" style="4" customWidth="1"/>
    <col min="11266" max="11266" width="22.33203125" style="4" customWidth="1"/>
    <col min="11267" max="11520" width="9.109375" style="4"/>
    <col min="11521" max="11521" width="58.5546875" style="4" customWidth="1"/>
    <col min="11522" max="11522" width="22.33203125" style="4" customWidth="1"/>
    <col min="11523" max="11776" width="9.109375" style="4"/>
    <col min="11777" max="11777" width="58.5546875" style="4" customWidth="1"/>
    <col min="11778" max="11778" width="22.33203125" style="4" customWidth="1"/>
    <col min="11779" max="12032" width="9.109375" style="4"/>
    <col min="12033" max="12033" width="58.5546875" style="4" customWidth="1"/>
    <col min="12034" max="12034" width="22.33203125" style="4" customWidth="1"/>
    <col min="12035" max="12288" width="9.109375" style="4"/>
    <col min="12289" max="12289" width="58.5546875" style="4" customWidth="1"/>
    <col min="12290" max="12290" width="22.33203125" style="4" customWidth="1"/>
    <col min="12291" max="12544" width="9.109375" style="4"/>
    <col min="12545" max="12545" width="58.5546875" style="4" customWidth="1"/>
    <col min="12546" max="12546" width="22.33203125" style="4" customWidth="1"/>
    <col min="12547" max="12800" width="9.109375" style="4"/>
    <col min="12801" max="12801" width="58.5546875" style="4" customWidth="1"/>
    <col min="12802" max="12802" width="22.33203125" style="4" customWidth="1"/>
    <col min="12803" max="13056" width="9.109375" style="4"/>
    <col min="13057" max="13057" width="58.5546875" style="4" customWidth="1"/>
    <col min="13058" max="13058" width="22.33203125" style="4" customWidth="1"/>
    <col min="13059" max="13312" width="9.109375" style="4"/>
    <col min="13313" max="13313" width="58.5546875" style="4" customWidth="1"/>
    <col min="13314" max="13314" width="22.33203125" style="4" customWidth="1"/>
    <col min="13315" max="13568" width="9.109375" style="4"/>
    <col min="13569" max="13569" width="58.5546875" style="4" customWidth="1"/>
    <col min="13570" max="13570" width="22.33203125" style="4" customWidth="1"/>
    <col min="13571" max="13824" width="9.109375" style="4"/>
    <col min="13825" max="13825" width="58.5546875" style="4" customWidth="1"/>
    <col min="13826" max="13826" width="22.33203125" style="4" customWidth="1"/>
    <col min="13827" max="14080" width="9.109375" style="4"/>
    <col min="14081" max="14081" width="58.5546875" style="4" customWidth="1"/>
    <col min="14082" max="14082" width="22.33203125" style="4" customWidth="1"/>
    <col min="14083" max="14336" width="9.109375" style="4"/>
    <col min="14337" max="14337" width="58.5546875" style="4" customWidth="1"/>
    <col min="14338" max="14338" width="22.33203125" style="4" customWidth="1"/>
    <col min="14339" max="14592" width="9.109375" style="4"/>
    <col min="14593" max="14593" width="58.5546875" style="4" customWidth="1"/>
    <col min="14594" max="14594" width="22.33203125" style="4" customWidth="1"/>
    <col min="14595" max="14848" width="9.109375" style="4"/>
    <col min="14849" max="14849" width="58.5546875" style="4" customWidth="1"/>
    <col min="14850" max="14850" width="22.33203125" style="4" customWidth="1"/>
    <col min="14851" max="15104" width="9.109375" style="4"/>
    <col min="15105" max="15105" width="58.5546875" style="4" customWidth="1"/>
    <col min="15106" max="15106" width="22.33203125" style="4" customWidth="1"/>
    <col min="15107" max="15360" width="9.109375" style="4"/>
    <col min="15361" max="15361" width="58.5546875" style="4" customWidth="1"/>
    <col min="15362" max="15362" width="22.33203125" style="4" customWidth="1"/>
    <col min="15363" max="15616" width="9.109375" style="4"/>
    <col min="15617" max="15617" width="58.5546875" style="4" customWidth="1"/>
    <col min="15618" max="15618" width="22.33203125" style="4" customWidth="1"/>
    <col min="15619" max="15872" width="9.109375" style="4"/>
    <col min="15873" max="15873" width="58.5546875" style="4" customWidth="1"/>
    <col min="15874" max="15874" width="22.33203125" style="4" customWidth="1"/>
    <col min="15875" max="16128" width="9.109375" style="4"/>
    <col min="16129" max="16129" width="58.5546875" style="4" customWidth="1"/>
    <col min="16130" max="16130" width="22.33203125" style="4" customWidth="1"/>
    <col min="16131" max="16384" width="9.109375" style="4"/>
  </cols>
  <sheetData>
    <row r="1" spans="1:10" ht="21.75" customHeight="1" thickBot="1" x14ac:dyDescent="0.35">
      <c r="A1" s="531" t="s">
        <v>320</v>
      </c>
      <c r="B1" s="531"/>
    </row>
    <row r="2" spans="1:10" s="38" customFormat="1" ht="27" customHeight="1" thickBot="1" x14ac:dyDescent="0.35">
      <c r="A2" s="33" t="s">
        <v>321</v>
      </c>
      <c r="B2" s="162" t="s">
        <v>322</v>
      </c>
      <c r="E2" s="481" t="s">
        <v>127</v>
      </c>
      <c r="F2" s="481"/>
      <c r="G2" s="426"/>
      <c r="H2" s="426"/>
      <c r="I2" s="426"/>
      <c r="J2" s="426"/>
    </row>
    <row r="3" spans="1:10" ht="14.4" customHeight="1" x14ac:dyDescent="0.3">
      <c r="A3" s="130" t="s">
        <v>323</v>
      </c>
      <c r="B3" s="219">
        <f>Транспорт!H3</f>
        <v>212503.25401760003</v>
      </c>
      <c r="C3" s="4" t="s">
        <v>324</v>
      </c>
      <c r="E3" s="499" t="s">
        <v>228</v>
      </c>
      <c r="F3" s="499"/>
      <c r="G3" s="499"/>
      <c r="H3" s="499"/>
      <c r="I3" s="499"/>
      <c r="J3" s="499"/>
    </row>
    <row r="4" spans="1:10" x14ac:dyDescent="0.3">
      <c r="A4" s="131" t="s">
        <v>325</v>
      </c>
      <c r="B4" s="220">
        <f>'Енергоресурси ГРН'!N38</f>
        <v>129138.21117566794</v>
      </c>
      <c r="E4" s="499"/>
      <c r="F4" s="499"/>
      <c r="G4" s="499"/>
      <c r="H4" s="499"/>
      <c r="I4" s="499"/>
      <c r="J4" s="499"/>
    </row>
    <row r="5" spans="1:10" x14ac:dyDescent="0.3">
      <c r="A5" s="131" t="s">
        <v>326</v>
      </c>
      <c r="B5" s="220">
        <f>'Витрати на збут'!N8</f>
        <v>55200</v>
      </c>
      <c r="E5" s="499"/>
      <c r="F5" s="499"/>
      <c r="G5" s="499"/>
      <c r="H5" s="499"/>
      <c r="I5" s="499"/>
      <c r="J5" s="499"/>
    </row>
    <row r="6" spans="1:10" x14ac:dyDescent="0.3">
      <c r="A6" s="131" t="s">
        <v>327</v>
      </c>
      <c r="B6" s="220">
        <f>'Експл витрати'!N11</f>
        <v>93000</v>
      </c>
      <c r="E6" s="483" t="s">
        <v>406</v>
      </c>
      <c r="F6" s="483"/>
      <c r="G6" s="483"/>
      <c r="H6" s="483"/>
      <c r="I6" s="483"/>
      <c r="J6" s="483"/>
    </row>
    <row r="7" spans="1:10" ht="15" thickBot="1" x14ac:dyDescent="0.35">
      <c r="A7" s="132" t="s">
        <v>328</v>
      </c>
      <c r="B7" s="221">
        <f>Таблица3[[#Totals],[Величина щорічних амортизаційних відрахувань, грн.]]</f>
        <v>697190.22710095241</v>
      </c>
      <c r="E7" s="483"/>
      <c r="F7" s="483"/>
      <c r="G7" s="483"/>
      <c r="H7" s="483"/>
      <c r="I7" s="483"/>
      <c r="J7" s="483"/>
    </row>
    <row r="8" spans="1:10" ht="15" thickBot="1" x14ac:dyDescent="0.35">
      <c r="A8" s="133" t="s">
        <v>329</v>
      </c>
      <c r="B8" s="222">
        <f>SUM(B3:B7)</f>
        <v>1187031.6922942204</v>
      </c>
      <c r="E8" s="483"/>
      <c r="F8" s="483"/>
      <c r="G8" s="483"/>
      <c r="H8" s="483"/>
      <c r="I8" s="483"/>
      <c r="J8" s="483"/>
    </row>
    <row r="9" spans="1:10" x14ac:dyDescent="0.3">
      <c r="A9" s="8"/>
      <c r="B9" s="223"/>
      <c r="E9" s="483"/>
      <c r="F9" s="483"/>
      <c r="G9" s="483"/>
      <c r="H9" s="483"/>
      <c r="I9" s="483"/>
      <c r="J9" s="483"/>
    </row>
    <row r="10" spans="1:10" x14ac:dyDescent="0.3">
      <c r="E10" s="483"/>
      <c r="F10" s="483"/>
      <c r="G10" s="483"/>
      <c r="H10" s="483"/>
      <c r="I10" s="483"/>
      <c r="J10" s="483"/>
    </row>
    <row r="11" spans="1:10" ht="15" thickBot="1" x14ac:dyDescent="0.35">
      <c r="A11" s="531" t="s">
        <v>320</v>
      </c>
      <c r="B11" s="531"/>
      <c r="E11" s="483"/>
      <c r="F11" s="483"/>
      <c r="G11" s="483"/>
      <c r="H11" s="483"/>
      <c r="I11" s="483"/>
      <c r="J11" s="483"/>
    </row>
    <row r="12" spans="1:10" ht="27" thickBot="1" x14ac:dyDescent="0.35">
      <c r="A12" s="33" t="s">
        <v>321</v>
      </c>
      <c r="B12" s="162" t="s">
        <v>322</v>
      </c>
      <c r="E12" s="483"/>
      <c r="F12" s="483"/>
      <c r="G12" s="483"/>
      <c r="H12" s="483"/>
      <c r="I12" s="483"/>
      <c r="J12" s="483"/>
    </row>
    <row r="13" spans="1:10" x14ac:dyDescent="0.3">
      <c r="A13" s="130" t="s">
        <v>323</v>
      </c>
      <c r="B13" s="219">
        <f>Транспорт!H4</f>
        <v>256553.47287359997</v>
      </c>
      <c r="E13" s="483"/>
      <c r="F13" s="483"/>
      <c r="G13" s="483"/>
      <c r="H13" s="483"/>
      <c r="I13" s="483"/>
      <c r="J13" s="483"/>
    </row>
    <row r="14" spans="1:10" x14ac:dyDescent="0.3">
      <c r="A14" s="131" t="s">
        <v>325</v>
      </c>
      <c r="B14" s="220">
        <f>'Енергоресурси ГРН'!N78</f>
        <v>310549.26416156051</v>
      </c>
    </row>
    <row r="15" spans="1:10" x14ac:dyDescent="0.3">
      <c r="A15" s="131" t="s">
        <v>326</v>
      </c>
      <c r="B15" s="220">
        <f>'Витрати на збут'!N18</f>
        <v>60720</v>
      </c>
    </row>
    <row r="16" spans="1:10" x14ac:dyDescent="0.3">
      <c r="A16" s="131" t="s">
        <v>327</v>
      </c>
      <c r="B16" s="220">
        <f>'Експл витрати'!N24</f>
        <v>102300</v>
      </c>
    </row>
    <row r="17" spans="1:2" ht="15" thickBot="1" x14ac:dyDescent="0.35">
      <c r="A17" s="132" t="s">
        <v>328</v>
      </c>
      <c r="B17" s="221">
        <f>Таблица3[[#Totals],[Величина щорічних амортизаційних відрахувань, грн.]]</f>
        <v>697190.22710095241</v>
      </c>
    </row>
    <row r="18" spans="1:2" ht="15" thickBot="1" x14ac:dyDescent="0.35">
      <c r="A18" s="133" t="s">
        <v>329</v>
      </c>
      <c r="B18" s="222">
        <f>SUM(B13:B17)</f>
        <v>1427312.9641361129</v>
      </c>
    </row>
    <row r="21" spans="1:2" ht="15" thickBot="1" x14ac:dyDescent="0.35">
      <c r="A21" s="531" t="s">
        <v>320</v>
      </c>
      <c r="B21" s="531"/>
    </row>
    <row r="22" spans="1:2" ht="27" thickBot="1" x14ac:dyDescent="0.35">
      <c r="A22" s="33" t="s">
        <v>321</v>
      </c>
      <c r="B22" s="162" t="s">
        <v>322</v>
      </c>
    </row>
    <row r="23" spans="1:2" x14ac:dyDescent="0.3">
      <c r="A23" s="130" t="s">
        <v>323</v>
      </c>
      <c r="B23" s="219">
        <f>Транспорт!H5</f>
        <v>262346.33496959996</v>
      </c>
    </row>
    <row r="24" spans="1:2" x14ac:dyDescent="0.3">
      <c r="A24" s="131" t="s">
        <v>325</v>
      </c>
      <c r="B24" s="220">
        <f>'Енергоресурси ГРН'!N118</f>
        <v>479696.0557521641</v>
      </c>
    </row>
    <row r="25" spans="1:2" x14ac:dyDescent="0.3">
      <c r="A25" s="131" t="s">
        <v>326</v>
      </c>
      <c r="B25" s="220">
        <f>'Витрати на збут'!N28</f>
        <v>66240</v>
      </c>
    </row>
    <row r="26" spans="1:2" x14ac:dyDescent="0.3">
      <c r="A26" s="131" t="s">
        <v>327</v>
      </c>
      <c r="B26" s="220">
        <f>'Експл витрати'!N37</f>
        <v>111600</v>
      </c>
    </row>
    <row r="27" spans="1:2" ht="15" thickBot="1" x14ac:dyDescent="0.35">
      <c r="A27" s="132" t="s">
        <v>328</v>
      </c>
      <c r="B27" s="221">
        <f>Таблица3[[#Totals],[Величина щорічних амортизаційних відрахувань, грн.]]</f>
        <v>697190.22710095241</v>
      </c>
    </row>
    <row r="28" spans="1:2" ht="15" thickBot="1" x14ac:dyDescent="0.35">
      <c r="A28" s="133" t="s">
        <v>329</v>
      </c>
      <c r="B28" s="222">
        <f>SUM(B23:B27)</f>
        <v>1617072.6178227165</v>
      </c>
    </row>
  </sheetData>
  <sheetProtection algorithmName="SHA-512" hashValue="+NTH/1XFfHQGO6SIEnSyx14p2NN6NavtLkF1h9FxYcNc6erHnBNzp/GyYaHJyEGHqMAkYr8Iy7qc7ee0D4OonA==" saltValue="anlPlmcq0IxgcQhVy5YutQ==" spinCount="100000" sheet="1" objects="1" scenarios="1"/>
  <mergeCells count="6">
    <mergeCell ref="A11:B11"/>
    <mergeCell ref="A21:B21"/>
    <mergeCell ref="A1:B1"/>
    <mergeCell ref="E2:F2"/>
    <mergeCell ref="E3:J5"/>
    <mergeCell ref="E6:J1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F0"/>
  </sheetPr>
  <dimension ref="A1:M29"/>
  <sheetViews>
    <sheetView workbookViewId="0">
      <selection activeCell="Q8" sqref="Q8"/>
    </sheetView>
  </sheetViews>
  <sheetFormatPr defaultRowHeight="13.2" x14ac:dyDescent="0.25"/>
  <cols>
    <col min="1" max="1" width="18.6640625" style="139" customWidth="1"/>
    <col min="2" max="2" width="18.109375" style="139" customWidth="1"/>
    <col min="3" max="3" width="14.44140625" style="139" customWidth="1"/>
    <col min="4" max="4" width="16.6640625" style="139" customWidth="1"/>
    <col min="5" max="5" width="16.5546875" style="139" customWidth="1"/>
    <col min="6" max="256" width="9.109375" style="139"/>
    <col min="257" max="257" width="21.6640625" style="139" customWidth="1"/>
    <col min="258" max="258" width="18.109375" style="139" customWidth="1"/>
    <col min="259" max="259" width="13.44140625" style="139" customWidth="1"/>
    <col min="260" max="260" width="18.44140625" style="139" customWidth="1"/>
    <col min="261" max="261" width="18.5546875" style="139" customWidth="1"/>
    <col min="262" max="512" width="9.109375" style="139"/>
    <col min="513" max="513" width="21.6640625" style="139" customWidth="1"/>
    <col min="514" max="514" width="18.109375" style="139" customWidth="1"/>
    <col min="515" max="515" width="13.44140625" style="139" customWidth="1"/>
    <col min="516" max="516" width="18.44140625" style="139" customWidth="1"/>
    <col min="517" max="517" width="18.5546875" style="139" customWidth="1"/>
    <col min="518" max="768" width="9.109375" style="139"/>
    <col min="769" max="769" width="21.6640625" style="139" customWidth="1"/>
    <col min="770" max="770" width="18.109375" style="139" customWidth="1"/>
    <col min="771" max="771" width="13.44140625" style="139" customWidth="1"/>
    <col min="772" max="772" width="18.44140625" style="139" customWidth="1"/>
    <col min="773" max="773" width="18.5546875" style="139" customWidth="1"/>
    <col min="774" max="1024" width="9.109375" style="139"/>
    <col min="1025" max="1025" width="21.6640625" style="139" customWidth="1"/>
    <col min="1026" max="1026" width="18.109375" style="139" customWidth="1"/>
    <col min="1027" max="1027" width="13.44140625" style="139" customWidth="1"/>
    <col min="1028" max="1028" width="18.44140625" style="139" customWidth="1"/>
    <col min="1029" max="1029" width="18.5546875" style="139" customWidth="1"/>
    <col min="1030" max="1280" width="9.109375" style="139"/>
    <col min="1281" max="1281" width="21.6640625" style="139" customWidth="1"/>
    <col min="1282" max="1282" width="18.109375" style="139" customWidth="1"/>
    <col min="1283" max="1283" width="13.44140625" style="139" customWidth="1"/>
    <col min="1284" max="1284" width="18.44140625" style="139" customWidth="1"/>
    <col min="1285" max="1285" width="18.5546875" style="139" customWidth="1"/>
    <col min="1286" max="1536" width="9.109375" style="139"/>
    <col min="1537" max="1537" width="21.6640625" style="139" customWidth="1"/>
    <col min="1538" max="1538" width="18.109375" style="139" customWidth="1"/>
    <col min="1539" max="1539" width="13.44140625" style="139" customWidth="1"/>
    <col min="1540" max="1540" width="18.44140625" style="139" customWidth="1"/>
    <col min="1541" max="1541" width="18.5546875" style="139" customWidth="1"/>
    <col min="1542" max="1792" width="9.109375" style="139"/>
    <col min="1793" max="1793" width="21.6640625" style="139" customWidth="1"/>
    <col min="1794" max="1794" width="18.109375" style="139" customWidth="1"/>
    <col min="1795" max="1795" width="13.44140625" style="139" customWidth="1"/>
    <col min="1796" max="1796" width="18.44140625" style="139" customWidth="1"/>
    <col min="1797" max="1797" width="18.5546875" style="139" customWidth="1"/>
    <col min="1798" max="2048" width="9.109375" style="139"/>
    <col min="2049" max="2049" width="21.6640625" style="139" customWidth="1"/>
    <col min="2050" max="2050" width="18.109375" style="139" customWidth="1"/>
    <col min="2051" max="2051" width="13.44140625" style="139" customWidth="1"/>
    <col min="2052" max="2052" width="18.44140625" style="139" customWidth="1"/>
    <col min="2053" max="2053" width="18.5546875" style="139" customWidth="1"/>
    <col min="2054" max="2304" width="9.109375" style="139"/>
    <col min="2305" max="2305" width="21.6640625" style="139" customWidth="1"/>
    <col min="2306" max="2306" width="18.109375" style="139" customWidth="1"/>
    <col min="2307" max="2307" width="13.44140625" style="139" customWidth="1"/>
    <col min="2308" max="2308" width="18.44140625" style="139" customWidth="1"/>
    <col min="2309" max="2309" width="18.5546875" style="139" customWidth="1"/>
    <col min="2310" max="2560" width="9.109375" style="139"/>
    <col min="2561" max="2561" width="21.6640625" style="139" customWidth="1"/>
    <col min="2562" max="2562" width="18.109375" style="139" customWidth="1"/>
    <col min="2563" max="2563" width="13.44140625" style="139" customWidth="1"/>
    <col min="2564" max="2564" width="18.44140625" style="139" customWidth="1"/>
    <col min="2565" max="2565" width="18.5546875" style="139" customWidth="1"/>
    <col min="2566" max="2816" width="9.109375" style="139"/>
    <col min="2817" max="2817" width="21.6640625" style="139" customWidth="1"/>
    <col min="2818" max="2818" width="18.109375" style="139" customWidth="1"/>
    <col min="2819" max="2819" width="13.44140625" style="139" customWidth="1"/>
    <col min="2820" max="2820" width="18.44140625" style="139" customWidth="1"/>
    <col min="2821" max="2821" width="18.5546875" style="139" customWidth="1"/>
    <col min="2822" max="3072" width="9.109375" style="139"/>
    <col min="3073" max="3073" width="21.6640625" style="139" customWidth="1"/>
    <col min="3074" max="3074" width="18.109375" style="139" customWidth="1"/>
    <col min="3075" max="3075" width="13.44140625" style="139" customWidth="1"/>
    <col min="3076" max="3076" width="18.44140625" style="139" customWidth="1"/>
    <col min="3077" max="3077" width="18.5546875" style="139" customWidth="1"/>
    <col min="3078" max="3328" width="9.109375" style="139"/>
    <col min="3329" max="3329" width="21.6640625" style="139" customWidth="1"/>
    <col min="3330" max="3330" width="18.109375" style="139" customWidth="1"/>
    <col min="3331" max="3331" width="13.44140625" style="139" customWidth="1"/>
    <col min="3332" max="3332" width="18.44140625" style="139" customWidth="1"/>
    <col min="3333" max="3333" width="18.5546875" style="139" customWidth="1"/>
    <col min="3334" max="3584" width="9.109375" style="139"/>
    <col min="3585" max="3585" width="21.6640625" style="139" customWidth="1"/>
    <col min="3586" max="3586" width="18.109375" style="139" customWidth="1"/>
    <col min="3587" max="3587" width="13.44140625" style="139" customWidth="1"/>
    <col min="3588" max="3588" width="18.44140625" style="139" customWidth="1"/>
    <col min="3589" max="3589" width="18.5546875" style="139" customWidth="1"/>
    <col min="3590" max="3840" width="9.109375" style="139"/>
    <col min="3841" max="3841" width="21.6640625" style="139" customWidth="1"/>
    <col min="3842" max="3842" width="18.109375" style="139" customWidth="1"/>
    <col min="3843" max="3843" width="13.44140625" style="139" customWidth="1"/>
    <col min="3844" max="3844" width="18.44140625" style="139" customWidth="1"/>
    <col min="3845" max="3845" width="18.5546875" style="139" customWidth="1"/>
    <col min="3846" max="4096" width="9.109375" style="139"/>
    <col min="4097" max="4097" width="21.6640625" style="139" customWidth="1"/>
    <col min="4098" max="4098" width="18.109375" style="139" customWidth="1"/>
    <col min="4099" max="4099" width="13.44140625" style="139" customWidth="1"/>
    <col min="4100" max="4100" width="18.44140625" style="139" customWidth="1"/>
    <col min="4101" max="4101" width="18.5546875" style="139" customWidth="1"/>
    <col min="4102" max="4352" width="9.109375" style="139"/>
    <col min="4353" max="4353" width="21.6640625" style="139" customWidth="1"/>
    <col min="4354" max="4354" width="18.109375" style="139" customWidth="1"/>
    <col min="4355" max="4355" width="13.44140625" style="139" customWidth="1"/>
    <col min="4356" max="4356" width="18.44140625" style="139" customWidth="1"/>
    <col min="4357" max="4357" width="18.5546875" style="139" customWidth="1"/>
    <col min="4358" max="4608" width="9.109375" style="139"/>
    <col min="4609" max="4609" width="21.6640625" style="139" customWidth="1"/>
    <col min="4610" max="4610" width="18.109375" style="139" customWidth="1"/>
    <col min="4611" max="4611" width="13.44140625" style="139" customWidth="1"/>
    <col min="4612" max="4612" width="18.44140625" style="139" customWidth="1"/>
    <col min="4613" max="4613" width="18.5546875" style="139" customWidth="1"/>
    <col min="4614" max="4864" width="9.109375" style="139"/>
    <col min="4865" max="4865" width="21.6640625" style="139" customWidth="1"/>
    <col min="4866" max="4866" width="18.109375" style="139" customWidth="1"/>
    <col min="4867" max="4867" width="13.44140625" style="139" customWidth="1"/>
    <col min="4868" max="4868" width="18.44140625" style="139" customWidth="1"/>
    <col min="4869" max="4869" width="18.5546875" style="139" customWidth="1"/>
    <col min="4870" max="5120" width="9.109375" style="139"/>
    <col min="5121" max="5121" width="21.6640625" style="139" customWidth="1"/>
    <col min="5122" max="5122" width="18.109375" style="139" customWidth="1"/>
    <col min="5123" max="5123" width="13.44140625" style="139" customWidth="1"/>
    <col min="5124" max="5124" width="18.44140625" style="139" customWidth="1"/>
    <col min="5125" max="5125" width="18.5546875" style="139" customWidth="1"/>
    <col min="5126" max="5376" width="9.109375" style="139"/>
    <col min="5377" max="5377" width="21.6640625" style="139" customWidth="1"/>
    <col min="5378" max="5378" width="18.109375" style="139" customWidth="1"/>
    <col min="5379" max="5379" width="13.44140625" style="139" customWidth="1"/>
    <col min="5380" max="5380" width="18.44140625" style="139" customWidth="1"/>
    <col min="5381" max="5381" width="18.5546875" style="139" customWidth="1"/>
    <col min="5382" max="5632" width="9.109375" style="139"/>
    <col min="5633" max="5633" width="21.6640625" style="139" customWidth="1"/>
    <col min="5634" max="5634" width="18.109375" style="139" customWidth="1"/>
    <col min="5635" max="5635" width="13.44140625" style="139" customWidth="1"/>
    <col min="5636" max="5636" width="18.44140625" style="139" customWidth="1"/>
    <col min="5637" max="5637" width="18.5546875" style="139" customWidth="1"/>
    <col min="5638" max="5888" width="9.109375" style="139"/>
    <col min="5889" max="5889" width="21.6640625" style="139" customWidth="1"/>
    <col min="5890" max="5890" width="18.109375" style="139" customWidth="1"/>
    <col min="5891" max="5891" width="13.44140625" style="139" customWidth="1"/>
    <col min="5892" max="5892" width="18.44140625" style="139" customWidth="1"/>
    <col min="5893" max="5893" width="18.5546875" style="139" customWidth="1"/>
    <col min="5894" max="6144" width="9.109375" style="139"/>
    <col min="6145" max="6145" width="21.6640625" style="139" customWidth="1"/>
    <col min="6146" max="6146" width="18.109375" style="139" customWidth="1"/>
    <col min="6147" max="6147" width="13.44140625" style="139" customWidth="1"/>
    <col min="6148" max="6148" width="18.44140625" style="139" customWidth="1"/>
    <col min="6149" max="6149" width="18.5546875" style="139" customWidth="1"/>
    <col min="6150" max="6400" width="9.109375" style="139"/>
    <col min="6401" max="6401" width="21.6640625" style="139" customWidth="1"/>
    <col min="6402" max="6402" width="18.109375" style="139" customWidth="1"/>
    <col min="6403" max="6403" width="13.44140625" style="139" customWidth="1"/>
    <col min="6404" max="6404" width="18.44140625" style="139" customWidth="1"/>
    <col min="6405" max="6405" width="18.5546875" style="139" customWidth="1"/>
    <col min="6406" max="6656" width="9.109375" style="139"/>
    <col min="6657" max="6657" width="21.6640625" style="139" customWidth="1"/>
    <col min="6658" max="6658" width="18.109375" style="139" customWidth="1"/>
    <col min="6659" max="6659" width="13.44140625" style="139" customWidth="1"/>
    <col min="6660" max="6660" width="18.44140625" style="139" customWidth="1"/>
    <col min="6661" max="6661" width="18.5546875" style="139" customWidth="1"/>
    <col min="6662" max="6912" width="9.109375" style="139"/>
    <col min="6913" max="6913" width="21.6640625" style="139" customWidth="1"/>
    <col min="6914" max="6914" width="18.109375" style="139" customWidth="1"/>
    <col min="6915" max="6915" width="13.44140625" style="139" customWidth="1"/>
    <col min="6916" max="6916" width="18.44140625" style="139" customWidth="1"/>
    <col min="6917" max="6917" width="18.5546875" style="139" customWidth="1"/>
    <col min="6918" max="7168" width="9.109375" style="139"/>
    <col min="7169" max="7169" width="21.6640625" style="139" customWidth="1"/>
    <col min="7170" max="7170" width="18.109375" style="139" customWidth="1"/>
    <col min="7171" max="7171" width="13.44140625" style="139" customWidth="1"/>
    <col min="7172" max="7172" width="18.44140625" style="139" customWidth="1"/>
    <col min="7173" max="7173" width="18.5546875" style="139" customWidth="1"/>
    <col min="7174" max="7424" width="9.109375" style="139"/>
    <col min="7425" max="7425" width="21.6640625" style="139" customWidth="1"/>
    <col min="7426" max="7426" width="18.109375" style="139" customWidth="1"/>
    <col min="7427" max="7427" width="13.44140625" style="139" customWidth="1"/>
    <col min="7428" max="7428" width="18.44140625" style="139" customWidth="1"/>
    <col min="7429" max="7429" width="18.5546875" style="139" customWidth="1"/>
    <col min="7430" max="7680" width="9.109375" style="139"/>
    <col min="7681" max="7681" width="21.6640625" style="139" customWidth="1"/>
    <col min="7682" max="7682" width="18.109375" style="139" customWidth="1"/>
    <col min="7683" max="7683" width="13.44140625" style="139" customWidth="1"/>
    <col min="7684" max="7684" width="18.44140625" style="139" customWidth="1"/>
    <col min="7685" max="7685" width="18.5546875" style="139" customWidth="1"/>
    <col min="7686" max="7936" width="9.109375" style="139"/>
    <col min="7937" max="7937" width="21.6640625" style="139" customWidth="1"/>
    <col min="7938" max="7938" width="18.109375" style="139" customWidth="1"/>
    <col min="7939" max="7939" width="13.44140625" style="139" customWidth="1"/>
    <col min="7940" max="7940" width="18.44140625" style="139" customWidth="1"/>
    <col min="7941" max="7941" width="18.5546875" style="139" customWidth="1"/>
    <col min="7942" max="8192" width="9.109375" style="139"/>
    <col min="8193" max="8193" width="21.6640625" style="139" customWidth="1"/>
    <col min="8194" max="8194" width="18.109375" style="139" customWidth="1"/>
    <col min="8195" max="8195" width="13.44140625" style="139" customWidth="1"/>
    <col min="8196" max="8196" width="18.44140625" style="139" customWidth="1"/>
    <col min="8197" max="8197" width="18.5546875" style="139" customWidth="1"/>
    <col min="8198" max="8448" width="9.109375" style="139"/>
    <col min="8449" max="8449" width="21.6640625" style="139" customWidth="1"/>
    <col min="8450" max="8450" width="18.109375" style="139" customWidth="1"/>
    <col min="8451" max="8451" width="13.44140625" style="139" customWidth="1"/>
    <col min="8452" max="8452" width="18.44140625" style="139" customWidth="1"/>
    <col min="8453" max="8453" width="18.5546875" style="139" customWidth="1"/>
    <col min="8454" max="8704" width="9.109375" style="139"/>
    <col min="8705" max="8705" width="21.6640625" style="139" customWidth="1"/>
    <col min="8706" max="8706" width="18.109375" style="139" customWidth="1"/>
    <col min="8707" max="8707" width="13.44140625" style="139" customWidth="1"/>
    <col min="8708" max="8708" width="18.44140625" style="139" customWidth="1"/>
    <col min="8709" max="8709" width="18.5546875" style="139" customWidth="1"/>
    <col min="8710" max="8960" width="9.109375" style="139"/>
    <col min="8961" max="8961" width="21.6640625" style="139" customWidth="1"/>
    <col min="8962" max="8962" width="18.109375" style="139" customWidth="1"/>
    <col min="8963" max="8963" width="13.44140625" style="139" customWidth="1"/>
    <col min="8964" max="8964" width="18.44140625" style="139" customWidth="1"/>
    <col min="8965" max="8965" width="18.5546875" style="139" customWidth="1"/>
    <col min="8966" max="9216" width="9.109375" style="139"/>
    <col min="9217" max="9217" width="21.6640625" style="139" customWidth="1"/>
    <col min="9218" max="9218" width="18.109375" style="139" customWidth="1"/>
    <col min="9219" max="9219" width="13.44140625" style="139" customWidth="1"/>
    <col min="9220" max="9220" width="18.44140625" style="139" customWidth="1"/>
    <col min="9221" max="9221" width="18.5546875" style="139" customWidth="1"/>
    <col min="9222" max="9472" width="9.109375" style="139"/>
    <col min="9473" max="9473" width="21.6640625" style="139" customWidth="1"/>
    <col min="9474" max="9474" width="18.109375" style="139" customWidth="1"/>
    <col min="9475" max="9475" width="13.44140625" style="139" customWidth="1"/>
    <col min="9476" max="9476" width="18.44140625" style="139" customWidth="1"/>
    <col min="9477" max="9477" width="18.5546875" style="139" customWidth="1"/>
    <col min="9478" max="9728" width="9.109375" style="139"/>
    <col min="9729" max="9729" width="21.6640625" style="139" customWidth="1"/>
    <col min="9730" max="9730" width="18.109375" style="139" customWidth="1"/>
    <col min="9731" max="9731" width="13.44140625" style="139" customWidth="1"/>
    <col min="9732" max="9732" width="18.44140625" style="139" customWidth="1"/>
    <col min="9733" max="9733" width="18.5546875" style="139" customWidth="1"/>
    <col min="9734" max="9984" width="9.109375" style="139"/>
    <col min="9985" max="9985" width="21.6640625" style="139" customWidth="1"/>
    <col min="9986" max="9986" width="18.109375" style="139" customWidth="1"/>
    <col min="9987" max="9987" width="13.44140625" style="139" customWidth="1"/>
    <col min="9988" max="9988" width="18.44140625" style="139" customWidth="1"/>
    <col min="9989" max="9989" width="18.5546875" style="139" customWidth="1"/>
    <col min="9990" max="10240" width="9.109375" style="139"/>
    <col min="10241" max="10241" width="21.6640625" style="139" customWidth="1"/>
    <col min="10242" max="10242" width="18.109375" style="139" customWidth="1"/>
    <col min="10243" max="10243" width="13.44140625" style="139" customWidth="1"/>
    <col min="10244" max="10244" width="18.44140625" style="139" customWidth="1"/>
    <col min="10245" max="10245" width="18.5546875" style="139" customWidth="1"/>
    <col min="10246" max="10496" width="9.109375" style="139"/>
    <col min="10497" max="10497" width="21.6640625" style="139" customWidth="1"/>
    <col min="10498" max="10498" width="18.109375" style="139" customWidth="1"/>
    <col min="10499" max="10499" width="13.44140625" style="139" customWidth="1"/>
    <col min="10500" max="10500" width="18.44140625" style="139" customWidth="1"/>
    <col min="10501" max="10501" width="18.5546875" style="139" customWidth="1"/>
    <col min="10502" max="10752" width="9.109375" style="139"/>
    <col min="10753" max="10753" width="21.6640625" style="139" customWidth="1"/>
    <col min="10754" max="10754" width="18.109375" style="139" customWidth="1"/>
    <col min="10755" max="10755" width="13.44140625" style="139" customWidth="1"/>
    <col min="10756" max="10756" width="18.44140625" style="139" customWidth="1"/>
    <col min="10757" max="10757" width="18.5546875" style="139" customWidth="1"/>
    <col min="10758" max="11008" width="9.109375" style="139"/>
    <col min="11009" max="11009" width="21.6640625" style="139" customWidth="1"/>
    <col min="11010" max="11010" width="18.109375" style="139" customWidth="1"/>
    <col min="11011" max="11011" width="13.44140625" style="139" customWidth="1"/>
    <col min="11012" max="11012" width="18.44140625" style="139" customWidth="1"/>
    <col min="11013" max="11013" width="18.5546875" style="139" customWidth="1"/>
    <col min="11014" max="11264" width="9.109375" style="139"/>
    <col min="11265" max="11265" width="21.6640625" style="139" customWidth="1"/>
    <col min="11266" max="11266" width="18.109375" style="139" customWidth="1"/>
    <col min="11267" max="11267" width="13.44140625" style="139" customWidth="1"/>
    <col min="11268" max="11268" width="18.44140625" style="139" customWidth="1"/>
    <col min="11269" max="11269" width="18.5546875" style="139" customWidth="1"/>
    <col min="11270" max="11520" width="9.109375" style="139"/>
    <col min="11521" max="11521" width="21.6640625" style="139" customWidth="1"/>
    <col min="11522" max="11522" width="18.109375" style="139" customWidth="1"/>
    <col min="11523" max="11523" width="13.44140625" style="139" customWidth="1"/>
    <col min="11524" max="11524" width="18.44140625" style="139" customWidth="1"/>
    <col min="11525" max="11525" width="18.5546875" style="139" customWidth="1"/>
    <col min="11526" max="11776" width="9.109375" style="139"/>
    <col min="11777" max="11777" width="21.6640625" style="139" customWidth="1"/>
    <col min="11778" max="11778" width="18.109375" style="139" customWidth="1"/>
    <col min="11779" max="11779" width="13.44140625" style="139" customWidth="1"/>
    <col min="11780" max="11780" width="18.44140625" style="139" customWidth="1"/>
    <col min="11781" max="11781" width="18.5546875" style="139" customWidth="1"/>
    <col min="11782" max="12032" width="9.109375" style="139"/>
    <col min="12033" max="12033" width="21.6640625" style="139" customWidth="1"/>
    <col min="12034" max="12034" width="18.109375" style="139" customWidth="1"/>
    <col min="12035" max="12035" width="13.44140625" style="139" customWidth="1"/>
    <col min="12036" max="12036" width="18.44140625" style="139" customWidth="1"/>
    <col min="12037" max="12037" width="18.5546875" style="139" customWidth="1"/>
    <col min="12038" max="12288" width="9.109375" style="139"/>
    <col min="12289" max="12289" width="21.6640625" style="139" customWidth="1"/>
    <col min="12290" max="12290" width="18.109375" style="139" customWidth="1"/>
    <col min="12291" max="12291" width="13.44140625" style="139" customWidth="1"/>
    <col min="12292" max="12292" width="18.44140625" style="139" customWidth="1"/>
    <col min="12293" max="12293" width="18.5546875" style="139" customWidth="1"/>
    <col min="12294" max="12544" width="9.109375" style="139"/>
    <col min="12545" max="12545" width="21.6640625" style="139" customWidth="1"/>
    <col min="12546" max="12546" width="18.109375" style="139" customWidth="1"/>
    <col min="12547" max="12547" width="13.44140625" style="139" customWidth="1"/>
    <col min="12548" max="12548" width="18.44140625" style="139" customWidth="1"/>
    <col min="12549" max="12549" width="18.5546875" style="139" customWidth="1"/>
    <col min="12550" max="12800" width="9.109375" style="139"/>
    <col min="12801" max="12801" width="21.6640625" style="139" customWidth="1"/>
    <col min="12802" max="12802" width="18.109375" style="139" customWidth="1"/>
    <col min="12803" max="12803" width="13.44140625" style="139" customWidth="1"/>
    <col min="12804" max="12804" width="18.44140625" style="139" customWidth="1"/>
    <col min="12805" max="12805" width="18.5546875" style="139" customWidth="1"/>
    <col min="12806" max="13056" width="9.109375" style="139"/>
    <col min="13057" max="13057" width="21.6640625" style="139" customWidth="1"/>
    <col min="13058" max="13058" width="18.109375" style="139" customWidth="1"/>
    <col min="13059" max="13059" width="13.44140625" style="139" customWidth="1"/>
    <col min="13060" max="13060" width="18.44140625" style="139" customWidth="1"/>
    <col min="13061" max="13061" width="18.5546875" style="139" customWidth="1"/>
    <col min="13062" max="13312" width="9.109375" style="139"/>
    <col min="13313" max="13313" width="21.6640625" style="139" customWidth="1"/>
    <col min="13314" max="13314" width="18.109375" style="139" customWidth="1"/>
    <col min="13315" max="13315" width="13.44140625" style="139" customWidth="1"/>
    <col min="13316" max="13316" width="18.44140625" style="139" customWidth="1"/>
    <col min="13317" max="13317" width="18.5546875" style="139" customWidth="1"/>
    <col min="13318" max="13568" width="9.109375" style="139"/>
    <col min="13569" max="13569" width="21.6640625" style="139" customWidth="1"/>
    <col min="13570" max="13570" width="18.109375" style="139" customWidth="1"/>
    <col min="13571" max="13571" width="13.44140625" style="139" customWidth="1"/>
    <col min="13572" max="13572" width="18.44140625" style="139" customWidth="1"/>
    <col min="13573" max="13573" width="18.5546875" style="139" customWidth="1"/>
    <col min="13574" max="13824" width="9.109375" style="139"/>
    <col min="13825" max="13825" width="21.6640625" style="139" customWidth="1"/>
    <col min="13826" max="13826" width="18.109375" style="139" customWidth="1"/>
    <col min="13827" max="13827" width="13.44140625" style="139" customWidth="1"/>
    <col min="13828" max="13828" width="18.44140625" style="139" customWidth="1"/>
    <col min="13829" max="13829" width="18.5546875" style="139" customWidth="1"/>
    <col min="13830" max="14080" width="9.109375" style="139"/>
    <col min="14081" max="14081" width="21.6640625" style="139" customWidth="1"/>
    <col min="14082" max="14082" width="18.109375" style="139" customWidth="1"/>
    <col min="14083" max="14083" width="13.44140625" style="139" customWidth="1"/>
    <col min="14084" max="14084" width="18.44140625" style="139" customWidth="1"/>
    <col min="14085" max="14085" width="18.5546875" style="139" customWidth="1"/>
    <col min="14086" max="14336" width="9.109375" style="139"/>
    <col min="14337" max="14337" width="21.6640625" style="139" customWidth="1"/>
    <col min="14338" max="14338" width="18.109375" style="139" customWidth="1"/>
    <col min="14339" max="14339" width="13.44140625" style="139" customWidth="1"/>
    <col min="14340" max="14340" width="18.44140625" style="139" customWidth="1"/>
    <col min="14341" max="14341" width="18.5546875" style="139" customWidth="1"/>
    <col min="14342" max="14592" width="9.109375" style="139"/>
    <col min="14593" max="14593" width="21.6640625" style="139" customWidth="1"/>
    <col min="14594" max="14594" width="18.109375" style="139" customWidth="1"/>
    <col min="14595" max="14595" width="13.44140625" style="139" customWidth="1"/>
    <col min="14596" max="14596" width="18.44140625" style="139" customWidth="1"/>
    <col min="14597" max="14597" width="18.5546875" style="139" customWidth="1"/>
    <col min="14598" max="14848" width="9.109375" style="139"/>
    <col min="14849" max="14849" width="21.6640625" style="139" customWidth="1"/>
    <col min="14850" max="14850" width="18.109375" style="139" customWidth="1"/>
    <col min="14851" max="14851" width="13.44140625" style="139" customWidth="1"/>
    <col min="14852" max="14852" width="18.44140625" style="139" customWidth="1"/>
    <col min="14853" max="14853" width="18.5546875" style="139" customWidth="1"/>
    <col min="14854" max="15104" width="9.109375" style="139"/>
    <col min="15105" max="15105" width="21.6640625" style="139" customWidth="1"/>
    <col min="15106" max="15106" width="18.109375" style="139" customWidth="1"/>
    <col min="15107" max="15107" width="13.44140625" style="139" customWidth="1"/>
    <col min="15108" max="15108" width="18.44140625" style="139" customWidth="1"/>
    <col min="15109" max="15109" width="18.5546875" style="139" customWidth="1"/>
    <col min="15110" max="15360" width="9.109375" style="139"/>
    <col min="15361" max="15361" width="21.6640625" style="139" customWidth="1"/>
    <col min="15362" max="15362" width="18.109375" style="139" customWidth="1"/>
    <col min="15363" max="15363" width="13.44140625" style="139" customWidth="1"/>
    <col min="15364" max="15364" width="18.44140625" style="139" customWidth="1"/>
    <col min="15365" max="15365" width="18.5546875" style="139" customWidth="1"/>
    <col min="15366" max="15616" width="9.109375" style="139"/>
    <col min="15617" max="15617" width="21.6640625" style="139" customWidth="1"/>
    <col min="15618" max="15618" width="18.109375" style="139" customWidth="1"/>
    <col min="15619" max="15619" width="13.44140625" style="139" customWidth="1"/>
    <col min="15620" max="15620" width="18.44140625" style="139" customWidth="1"/>
    <col min="15621" max="15621" width="18.5546875" style="139" customWidth="1"/>
    <col min="15622" max="15872" width="9.109375" style="139"/>
    <col min="15873" max="15873" width="21.6640625" style="139" customWidth="1"/>
    <col min="15874" max="15874" width="18.109375" style="139" customWidth="1"/>
    <col min="15875" max="15875" width="13.44140625" style="139" customWidth="1"/>
    <col min="15876" max="15876" width="18.44140625" style="139" customWidth="1"/>
    <col min="15877" max="15877" width="18.5546875" style="139" customWidth="1"/>
    <col min="15878" max="16128" width="9.109375" style="139"/>
    <col min="16129" max="16129" width="21.6640625" style="139" customWidth="1"/>
    <col min="16130" max="16130" width="18.109375" style="139" customWidth="1"/>
    <col min="16131" max="16131" width="13.44140625" style="139" customWidth="1"/>
    <col min="16132" max="16132" width="18.44140625" style="139" customWidth="1"/>
    <col min="16133" max="16133" width="18.5546875" style="139" customWidth="1"/>
    <col min="16134" max="16384" width="9.109375" style="139"/>
  </cols>
  <sheetData>
    <row r="1" spans="1:13" ht="13.8" thickBot="1" x14ac:dyDescent="0.3">
      <c r="A1" s="532" t="s">
        <v>331</v>
      </c>
      <c r="B1" s="532"/>
      <c r="C1" s="532"/>
      <c r="D1" s="532"/>
      <c r="E1" s="532"/>
    </row>
    <row r="2" spans="1:13" s="163" customFormat="1" ht="43.5" customHeight="1" thickBot="1" x14ac:dyDescent="0.35">
      <c r="A2" s="160" t="s">
        <v>332</v>
      </c>
      <c r="B2" s="161" t="s">
        <v>333</v>
      </c>
      <c r="C2" s="161" t="s">
        <v>334</v>
      </c>
      <c r="D2" s="161" t="s">
        <v>335</v>
      </c>
      <c r="E2" s="162" t="s">
        <v>336</v>
      </c>
      <c r="H2" s="481" t="s">
        <v>127</v>
      </c>
      <c r="I2" s="481"/>
      <c r="J2" s="426"/>
      <c r="K2" s="426"/>
      <c r="L2" s="426"/>
      <c r="M2" s="426"/>
    </row>
    <row r="3" spans="1:13" ht="13.2" customHeight="1" x14ac:dyDescent="0.25">
      <c r="A3" s="145" t="str">
        <f>Довідник!$A$54</f>
        <v>Молоко питне</v>
      </c>
      <c r="B3" s="200">
        <f>Реалізація!B6</f>
        <v>360660.47999999998</v>
      </c>
      <c r="C3" s="201"/>
      <c r="D3" s="202">
        <f>B3/B$9</f>
        <v>8.6292045180647786E-2</v>
      </c>
      <c r="E3" s="203">
        <f>$C$9*D3</f>
        <v>102431.39242231367</v>
      </c>
      <c r="H3" s="499" t="s">
        <v>228</v>
      </c>
      <c r="I3" s="499"/>
      <c r="J3" s="499"/>
      <c r="K3" s="499"/>
      <c r="L3" s="499"/>
      <c r="M3" s="499"/>
    </row>
    <row r="4" spans="1:13" ht="13.2" customHeight="1" x14ac:dyDescent="0.25">
      <c r="A4" s="145" t="str">
        <f>Довідник!$A$55</f>
        <v>Сир кисломолочний</v>
      </c>
      <c r="B4" s="204">
        <f>Реалізація!B9</f>
        <v>726330.1333333333</v>
      </c>
      <c r="C4" s="205"/>
      <c r="D4" s="206">
        <f t="shared" ref="D4:D8" si="0">B4/B$9</f>
        <v>0.17378259098880455</v>
      </c>
      <c r="E4" s="207">
        <f t="shared" ref="E4:E8" si="1">$C$9*D4</f>
        <v>206285.44307271502</v>
      </c>
      <c r="H4" s="499"/>
      <c r="I4" s="499"/>
      <c r="J4" s="499"/>
      <c r="K4" s="499"/>
      <c r="L4" s="499"/>
      <c r="M4" s="499"/>
    </row>
    <row r="5" spans="1:13" ht="13.2" customHeight="1" x14ac:dyDescent="0.25">
      <c r="A5" s="145" t="str">
        <f>Довідник!$A$56</f>
        <v>Кефір</v>
      </c>
      <c r="B5" s="204">
        <f>Реалізація!B12</f>
        <v>1225545.3203883495</v>
      </c>
      <c r="C5" s="205"/>
      <c r="D5" s="206">
        <f t="shared" si="0"/>
        <v>0.29322539624491967</v>
      </c>
      <c r="E5" s="207">
        <f t="shared" si="1"/>
        <v>348067.83832825033</v>
      </c>
      <c r="H5" s="499"/>
      <c r="I5" s="499"/>
      <c r="J5" s="499"/>
      <c r="K5" s="499"/>
      <c r="L5" s="499"/>
      <c r="M5" s="499"/>
    </row>
    <row r="6" spans="1:13" ht="13.2" customHeight="1" x14ac:dyDescent="0.25">
      <c r="A6" s="145" t="str">
        <f>Довідник!$A$57</f>
        <v>Сметана</v>
      </c>
      <c r="B6" s="204">
        <f>Реалізація!B15</f>
        <v>203944.9142857143</v>
      </c>
      <c r="C6" s="205"/>
      <c r="D6" s="206">
        <f t="shared" si="0"/>
        <v>4.8796096977152023E-2</v>
      </c>
      <c r="E6" s="207">
        <f t="shared" si="1"/>
        <v>57922.513572141659</v>
      </c>
      <c r="H6" s="514" t="s">
        <v>407</v>
      </c>
      <c r="I6" s="514"/>
      <c r="J6" s="514"/>
      <c r="K6" s="514"/>
      <c r="L6" s="514"/>
      <c r="M6" s="514"/>
    </row>
    <row r="7" spans="1:13" ht="13.2" customHeight="1" x14ac:dyDescent="0.25">
      <c r="A7" s="145" t="str">
        <f>Довідник!$A$58</f>
        <v>Сир м'який</v>
      </c>
      <c r="B7" s="204">
        <f>Реалізація!B18</f>
        <v>1202201.5999999999</v>
      </c>
      <c r="C7" s="205"/>
      <c r="D7" s="206">
        <f t="shared" si="0"/>
        <v>0.28764015060215925</v>
      </c>
      <c r="E7" s="207">
        <f t="shared" si="1"/>
        <v>341437.9747410455</v>
      </c>
      <c r="H7" s="514"/>
      <c r="I7" s="514"/>
      <c r="J7" s="514"/>
      <c r="K7" s="514"/>
      <c r="L7" s="514"/>
      <c r="M7" s="514"/>
    </row>
    <row r="8" spans="1:13" ht="13.8" customHeight="1" thickBot="1" x14ac:dyDescent="0.3">
      <c r="A8" s="150" t="str">
        <f>Довідник!$A$61</f>
        <v>Сир Рікотта</v>
      </c>
      <c r="B8" s="208">
        <f>Реалізація!B21</f>
        <v>460850.89420249651</v>
      </c>
      <c r="C8" s="209"/>
      <c r="D8" s="210">
        <f t="shared" si="0"/>
        <v>0.11026372000631664</v>
      </c>
      <c r="E8" s="211">
        <f t="shared" si="1"/>
        <v>130886.53015775412</v>
      </c>
      <c r="H8" s="514"/>
      <c r="I8" s="514"/>
      <c r="J8" s="514"/>
      <c r="K8" s="514"/>
      <c r="L8" s="514"/>
      <c r="M8" s="514"/>
    </row>
    <row r="9" spans="1:13" ht="13.8" customHeight="1" thickBot="1" x14ac:dyDescent="0.3">
      <c r="A9" s="212" t="s">
        <v>63</v>
      </c>
      <c r="B9" s="213">
        <f>SUM(B3:B8)</f>
        <v>4179533.3422098937</v>
      </c>
      <c r="C9" s="213">
        <f>'Накладні витрати'!B8</f>
        <v>1187031.6922942204</v>
      </c>
      <c r="D9" s="214">
        <f>SUM(D3:D8)</f>
        <v>0.99999999999999989</v>
      </c>
      <c r="E9" s="215">
        <f>SUM(E3:E8)</f>
        <v>1187031.6922942204</v>
      </c>
      <c r="H9" s="514"/>
      <c r="I9" s="514"/>
      <c r="J9" s="514"/>
      <c r="K9" s="514"/>
      <c r="L9" s="514"/>
      <c r="M9" s="514"/>
    </row>
    <row r="10" spans="1:13" ht="13.2" customHeight="1" x14ac:dyDescent="0.25">
      <c r="A10" s="216"/>
      <c r="B10" s="217"/>
      <c r="C10" s="217"/>
      <c r="D10" s="218"/>
      <c r="E10" s="217"/>
      <c r="H10" s="514"/>
      <c r="I10" s="514"/>
      <c r="J10" s="514"/>
      <c r="K10" s="514"/>
      <c r="L10" s="514"/>
      <c r="M10" s="514"/>
    </row>
    <row r="11" spans="1:13" ht="13.8" customHeight="1" thickBot="1" x14ac:dyDescent="0.3">
      <c r="A11" s="532" t="s">
        <v>331</v>
      </c>
      <c r="B11" s="532"/>
      <c r="C11" s="532"/>
      <c r="D11" s="532"/>
      <c r="E11" s="532"/>
      <c r="H11" s="514"/>
      <c r="I11" s="514"/>
      <c r="J11" s="514"/>
      <c r="K11" s="514"/>
      <c r="L11" s="514"/>
      <c r="M11" s="514"/>
    </row>
    <row r="12" spans="1:13" ht="44.25" customHeight="1" thickBot="1" x14ac:dyDescent="0.3">
      <c r="A12" s="160" t="s">
        <v>332</v>
      </c>
      <c r="B12" s="161" t="s">
        <v>333</v>
      </c>
      <c r="C12" s="161" t="s">
        <v>334</v>
      </c>
      <c r="D12" s="161" t="s">
        <v>335</v>
      </c>
      <c r="E12" s="162" t="s">
        <v>336</v>
      </c>
      <c r="H12" s="514"/>
      <c r="I12" s="514"/>
      <c r="J12" s="514"/>
      <c r="K12" s="514"/>
      <c r="L12" s="514"/>
      <c r="M12" s="514"/>
    </row>
    <row r="13" spans="1:13" ht="13.2" customHeight="1" x14ac:dyDescent="0.25">
      <c r="A13" s="145" t="str">
        <f>Довідник!$A$54</f>
        <v>Молоко питне</v>
      </c>
      <c r="B13" s="200">
        <f>Реалізація!C6</f>
        <v>802632.96000000008</v>
      </c>
      <c r="C13" s="201"/>
      <c r="D13" s="202">
        <f>B13/B$19</f>
        <v>8.62920451806478E-2</v>
      </c>
      <c r="E13" s="203">
        <f>$C$19*D13</f>
        <v>123165.75478815779</v>
      </c>
      <c r="H13" s="514"/>
      <c r="I13" s="514"/>
      <c r="J13" s="514"/>
      <c r="K13" s="514"/>
      <c r="L13" s="514"/>
      <c r="M13" s="514"/>
    </row>
    <row r="14" spans="1:13" x14ac:dyDescent="0.25">
      <c r="A14" s="145" t="str">
        <f>Довідник!$A$55</f>
        <v>Сир кисломолочний</v>
      </c>
      <c r="B14" s="204">
        <f>Реалізація!C9</f>
        <v>1616413.5999999999</v>
      </c>
      <c r="C14" s="205"/>
      <c r="D14" s="206">
        <f t="shared" ref="D14:D18" si="2">B14/B$19</f>
        <v>0.17378259098880458</v>
      </c>
      <c r="E14" s="207">
        <f t="shared" ref="E14:E18" si="3">$C$19*D14</f>
        <v>248042.14505948441</v>
      </c>
      <c r="H14" s="514"/>
      <c r="I14" s="514"/>
      <c r="J14" s="514"/>
      <c r="K14" s="514"/>
      <c r="L14" s="514"/>
      <c r="M14" s="514"/>
    </row>
    <row r="15" spans="1:13" x14ac:dyDescent="0.25">
      <c r="A15" s="145" t="str">
        <f>Довідник!$A$56</f>
        <v>Кефір</v>
      </c>
      <c r="B15" s="204">
        <f>Реалізація!C12</f>
        <v>2727393.5533980578</v>
      </c>
      <c r="C15" s="205"/>
      <c r="D15" s="206">
        <f t="shared" si="2"/>
        <v>0.29322539624491967</v>
      </c>
      <c r="E15" s="207">
        <f t="shared" si="3"/>
        <v>418524.40947432251</v>
      </c>
    </row>
    <row r="16" spans="1:13" x14ac:dyDescent="0.25">
      <c r="A16" s="145" t="str">
        <f>Довідник!$A$57</f>
        <v>Сметана</v>
      </c>
      <c r="B16" s="204">
        <f>Реалізація!C15</f>
        <v>453869.8285714286</v>
      </c>
      <c r="C16" s="205"/>
      <c r="D16" s="206">
        <f t="shared" si="2"/>
        <v>4.879609697715203E-2</v>
      </c>
      <c r="E16" s="207">
        <f t="shared" si="3"/>
        <v>69647.301814732084</v>
      </c>
    </row>
    <row r="17" spans="1:5" x14ac:dyDescent="0.25">
      <c r="A17" s="145" t="str">
        <f>Довідник!$A$58</f>
        <v>Сир м'який</v>
      </c>
      <c r="B17" s="204">
        <f>Реалізація!C18</f>
        <v>2675443.2000000002</v>
      </c>
      <c r="C17" s="205"/>
      <c r="D17" s="206">
        <f t="shared" si="2"/>
        <v>0.28764015060215936</v>
      </c>
      <c r="E17" s="207">
        <f t="shared" si="3"/>
        <v>410552.51596052601</v>
      </c>
    </row>
    <row r="18" spans="1:5" ht="13.8" thickBot="1" x14ac:dyDescent="0.3">
      <c r="A18" s="150" t="str">
        <f>Довідник!$A$61</f>
        <v>Сир Рікотта</v>
      </c>
      <c r="B18" s="208">
        <f>Реалізація!C21</f>
        <v>1025602.0214147018</v>
      </c>
      <c r="C18" s="209"/>
      <c r="D18" s="210">
        <f t="shared" si="2"/>
        <v>0.11026372000631665</v>
      </c>
      <c r="E18" s="211">
        <f t="shared" si="3"/>
        <v>157380.83703889023</v>
      </c>
    </row>
    <row r="19" spans="1:5" ht="13.8" thickBot="1" x14ac:dyDescent="0.3">
      <c r="A19" s="212" t="s">
        <v>63</v>
      </c>
      <c r="B19" s="213">
        <f>SUM(B13:B18)</f>
        <v>9301355.163384188</v>
      </c>
      <c r="C19" s="213">
        <f>'Накладні витрати'!B18</f>
        <v>1427312.9641361129</v>
      </c>
      <c r="D19" s="214">
        <f>SUM(D13:D18)</f>
        <v>1</v>
      </c>
      <c r="E19" s="215">
        <f>SUM(E13:E18)</f>
        <v>1427312.9641361129</v>
      </c>
    </row>
    <row r="20" spans="1:5" x14ac:dyDescent="0.25">
      <c r="A20" s="216"/>
      <c r="B20" s="217"/>
      <c r="C20" s="217"/>
      <c r="D20" s="218"/>
      <c r="E20" s="217"/>
    </row>
    <row r="21" spans="1:5" ht="13.8" thickBot="1" x14ac:dyDescent="0.3">
      <c r="A21" s="532" t="s">
        <v>331</v>
      </c>
      <c r="B21" s="532"/>
      <c r="C21" s="532"/>
      <c r="D21" s="532"/>
      <c r="E21" s="532"/>
    </row>
    <row r="22" spans="1:5" ht="40.5" customHeight="1" thickBot="1" x14ac:dyDescent="0.3">
      <c r="A22" s="160" t="s">
        <v>332</v>
      </c>
      <c r="B22" s="161" t="s">
        <v>333</v>
      </c>
      <c r="C22" s="161" t="s">
        <v>334</v>
      </c>
      <c r="D22" s="161" t="s">
        <v>335</v>
      </c>
      <c r="E22" s="162" t="s">
        <v>336</v>
      </c>
    </row>
    <row r="23" spans="1:5" x14ac:dyDescent="0.25">
      <c r="A23" s="145" t="str">
        <f>Довідник!$A$54</f>
        <v>Молоко питне</v>
      </c>
      <c r="B23" s="200">
        <f>Реалізація!D6</f>
        <v>1153764.48</v>
      </c>
      <c r="C23" s="201"/>
      <c r="D23" s="202">
        <f>B23/B$29</f>
        <v>8.6292045180647786E-2</v>
      </c>
      <c r="E23" s="203">
        <f>$C$29*D23</f>
        <v>139540.50339754624</v>
      </c>
    </row>
    <row r="24" spans="1:5" x14ac:dyDescent="0.25">
      <c r="A24" s="145" t="str">
        <f>Довідник!$A$55</f>
        <v>Сир кисломолочний</v>
      </c>
      <c r="B24" s="204">
        <f>Реалізація!D9</f>
        <v>2323553.4666666668</v>
      </c>
      <c r="C24" s="205"/>
      <c r="D24" s="206">
        <f t="shared" ref="D24:D28" si="4">B24/B$29</f>
        <v>0.17378259098880458</v>
      </c>
      <c r="E24" s="207">
        <f t="shared" ref="E24:E28" si="5">$C$29*D24</f>
        <v>281019.06934228062</v>
      </c>
    </row>
    <row r="25" spans="1:5" x14ac:dyDescent="0.25">
      <c r="A25" s="145" t="str">
        <f>Довідник!$A$56</f>
        <v>Кефір</v>
      </c>
      <c r="B25" s="204">
        <f>Реалізація!D12</f>
        <v>3920558.9126213589</v>
      </c>
      <c r="C25" s="205"/>
      <c r="D25" s="206">
        <f t="shared" si="4"/>
        <v>0.29322539624491967</v>
      </c>
      <c r="E25" s="207">
        <f t="shared" si="5"/>
        <v>474166.7591178756</v>
      </c>
    </row>
    <row r="26" spans="1:5" x14ac:dyDescent="0.25">
      <c r="A26" s="145" t="str">
        <f>Довідник!$A$57</f>
        <v>Сметана</v>
      </c>
      <c r="B26" s="204">
        <f>Реалізація!D15</f>
        <v>652426.34285714291</v>
      </c>
      <c r="C26" s="205"/>
      <c r="D26" s="206">
        <f t="shared" si="4"/>
        <v>4.879609697715203E-2</v>
      </c>
      <c r="E26" s="207">
        <f t="shared" si="5"/>
        <v>78906.832278374379</v>
      </c>
    </row>
    <row r="27" spans="1:5" x14ac:dyDescent="0.25">
      <c r="A27" s="145" t="str">
        <f>Довідник!$A$58</f>
        <v>Сир м'який</v>
      </c>
      <c r="B27" s="204">
        <f>Реалізація!D18</f>
        <v>3845881.6000000006</v>
      </c>
      <c r="C27" s="205"/>
      <c r="D27" s="206">
        <f t="shared" si="4"/>
        <v>0.28764015060215936</v>
      </c>
      <c r="E27" s="207">
        <f t="shared" si="5"/>
        <v>465135.01132515428</v>
      </c>
    </row>
    <row r="28" spans="1:5" ht="13.8" thickBot="1" x14ac:dyDescent="0.3">
      <c r="A28" s="150" t="str">
        <f>Довідник!$A$61</f>
        <v>Сир Рікотта</v>
      </c>
      <c r="B28" s="208">
        <f>Реалізація!D21</f>
        <v>1474276.8387239946</v>
      </c>
      <c r="C28" s="209"/>
      <c r="D28" s="210">
        <f t="shared" si="4"/>
        <v>0.11026372000631665</v>
      </c>
      <c r="E28" s="211">
        <f t="shared" si="5"/>
        <v>178304.4423614855</v>
      </c>
    </row>
    <row r="29" spans="1:5" ht="13.8" thickBot="1" x14ac:dyDescent="0.3">
      <c r="A29" s="212" t="s">
        <v>63</v>
      </c>
      <c r="B29" s="213">
        <f>SUM(B23:B28)</f>
        <v>13370461.640869163</v>
      </c>
      <c r="C29" s="213">
        <f>'Накладні витрати'!B28</f>
        <v>1617072.6178227165</v>
      </c>
      <c r="D29" s="214">
        <f>SUM(D23:D28)</f>
        <v>1</v>
      </c>
      <c r="E29" s="215">
        <f>SUM(E23:E28)</f>
        <v>1617072.6178227165</v>
      </c>
    </row>
  </sheetData>
  <sheetProtection algorithmName="SHA-512" hashValue="FVdTLzIfhjdmgouNGQSpg2obcIwCizTMaAl5woTqnKN2eTtLfgY7l4ll54s950wXXOCDr8oXT8u1YLyQTmMBsQ==" saltValue="de9+/pJnLWU45x4JbwfH3w==" spinCount="100000" sheet="1" objects="1" scenarios="1"/>
  <mergeCells count="6">
    <mergeCell ref="A21:E21"/>
    <mergeCell ref="A11:E11"/>
    <mergeCell ref="A1:E1"/>
    <mergeCell ref="H2:I2"/>
    <mergeCell ref="H3:M5"/>
    <mergeCell ref="H6:M14"/>
  </mergeCells>
  <pageMargins left="0.7" right="0.7" top="0.75" bottom="0.75" header="0.3" footer="0.3"/>
  <ignoredErrors>
    <ignoredError sqref="C9 C19 C29" formula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F0"/>
  </sheetPr>
  <dimension ref="A1:P25"/>
  <sheetViews>
    <sheetView workbookViewId="0">
      <selection activeCell="R5" sqref="R5"/>
    </sheetView>
  </sheetViews>
  <sheetFormatPr defaultRowHeight="13.2" x14ac:dyDescent="0.25"/>
  <cols>
    <col min="1" max="1" width="31.88671875" style="139" customWidth="1"/>
    <col min="2" max="7" width="11.6640625" style="139" customWidth="1"/>
    <col min="8" max="8" width="12.33203125" style="139" customWidth="1"/>
    <col min="9" max="258" width="9.109375" style="139"/>
    <col min="259" max="259" width="31.88671875" style="139" customWidth="1"/>
    <col min="260" max="260" width="13.5546875" style="139" customWidth="1"/>
    <col min="261" max="261" width="11.88671875" style="139" customWidth="1"/>
    <col min="262" max="262" width="13.109375" style="139" customWidth="1"/>
    <col min="263" max="263" width="13.5546875" style="139" customWidth="1"/>
    <col min="264" max="264" width="12.6640625" style="139" customWidth="1"/>
    <col min="265" max="514" width="9.109375" style="139"/>
    <col min="515" max="515" width="31.88671875" style="139" customWidth="1"/>
    <col min="516" max="516" width="13.5546875" style="139" customWidth="1"/>
    <col min="517" max="517" width="11.88671875" style="139" customWidth="1"/>
    <col min="518" max="518" width="13.109375" style="139" customWidth="1"/>
    <col min="519" max="519" width="13.5546875" style="139" customWidth="1"/>
    <col min="520" max="520" width="12.6640625" style="139" customWidth="1"/>
    <col min="521" max="770" width="9.109375" style="139"/>
    <col min="771" max="771" width="31.88671875" style="139" customWidth="1"/>
    <col min="772" max="772" width="13.5546875" style="139" customWidth="1"/>
    <col min="773" max="773" width="11.88671875" style="139" customWidth="1"/>
    <col min="774" max="774" width="13.109375" style="139" customWidth="1"/>
    <col min="775" max="775" width="13.5546875" style="139" customWidth="1"/>
    <col min="776" max="776" width="12.6640625" style="139" customWidth="1"/>
    <col min="777" max="1026" width="9.109375" style="139"/>
    <col min="1027" max="1027" width="31.88671875" style="139" customWidth="1"/>
    <col min="1028" max="1028" width="13.5546875" style="139" customWidth="1"/>
    <col min="1029" max="1029" width="11.88671875" style="139" customWidth="1"/>
    <col min="1030" max="1030" width="13.109375" style="139" customWidth="1"/>
    <col min="1031" max="1031" width="13.5546875" style="139" customWidth="1"/>
    <col min="1032" max="1032" width="12.6640625" style="139" customWidth="1"/>
    <col min="1033" max="1282" width="9.109375" style="139"/>
    <col min="1283" max="1283" width="31.88671875" style="139" customWidth="1"/>
    <col min="1284" max="1284" width="13.5546875" style="139" customWidth="1"/>
    <col min="1285" max="1285" width="11.88671875" style="139" customWidth="1"/>
    <col min="1286" max="1286" width="13.109375" style="139" customWidth="1"/>
    <col min="1287" max="1287" width="13.5546875" style="139" customWidth="1"/>
    <col min="1288" max="1288" width="12.6640625" style="139" customWidth="1"/>
    <col min="1289" max="1538" width="9.109375" style="139"/>
    <col min="1539" max="1539" width="31.88671875" style="139" customWidth="1"/>
    <col min="1540" max="1540" width="13.5546875" style="139" customWidth="1"/>
    <col min="1541" max="1541" width="11.88671875" style="139" customWidth="1"/>
    <col min="1542" max="1542" width="13.109375" style="139" customWidth="1"/>
    <col min="1543" max="1543" width="13.5546875" style="139" customWidth="1"/>
    <col min="1544" max="1544" width="12.6640625" style="139" customWidth="1"/>
    <col min="1545" max="1794" width="9.109375" style="139"/>
    <col min="1795" max="1795" width="31.88671875" style="139" customWidth="1"/>
    <col min="1796" max="1796" width="13.5546875" style="139" customWidth="1"/>
    <col min="1797" max="1797" width="11.88671875" style="139" customWidth="1"/>
    <col min="1798" max="1798" width="13.109375" style="139" customWidth="1"/>
    <col min="1799" max="1799" width="13.5546875" style="139" customWidth="1"/>
    <col min="1800" max="1800" width="12.6640625" style="139" customWidth="1"/>
    <col min="1801" max="2050" width="9.109375" style="139"/>
    <col min="2051" max="2051" width="31.88671875" style="139" customWidth="1"/>
    <col min="2052" max="2052" width="13.5546875" style="139" customWidth="1"/>
    <col min="2053" max="2053" width="11.88671875" style="139" customWidth="1"/>
    <col min="2054" max="2054" width="13.109375" style="139" customWidth="1"/>
    <col min="2055" max="2055" width="13.5546875" style="139" customWidth="1"/>
    <col min="2056" max="2056" width="12.6640625" style="139" customWidth="1"/>
    <col min="2057" max="2306" width="9.109375" style="139"/>
    <col min="2307" max="2307" width="31.88671875" style="139" customWidth="1"/>
    <col min="2308" max="2308" width="13.5546875" style="139" customWidth="1"/>
    <col min="2309" max="2309" width="11.88671875" style="139" customWidth="1"/>
    <col min="2310" max="2310" width="13.109375" style="139" customWidth="1"/>
    <col min="2311" max="2311" width="13.5546875" style="139" customWidth="1"/>
    <col min="2312" max="2312" width="12.6640625" style="139" customWidth="1"/>
    <col min="2313" max="2562" width="9.109375" style="139"/>
    <col min="2563" max="2563" width="31.88671875" style="139" customWidth="1"/>
    <col min="2564" max="2564" width="13.5546875" style="139" customWidth="1"/>
    <col min="2565" max="2565" width="11.88671875" style="139" customWidth="1"/>
    <col min="2566" max="2566" width="13.109375" style="139" customWidth="1"/>
    <col min="2567" max="2567" width="13.5546875" style="139" customWidth="1"/>
    <col min="2568" max="2568" width="12.6640625" style="139" customWidth="1"/>
    <col min="2569" max="2818" width="9.109375" style="139"/>
    <col min="2819" max="2819" width="31.88671875" style="139" customWidth="1"/>
    <col min="2820" max="2820" width="13.5546875" style="139" customWidth="1"/>
    <col min="2821" max="2821" width="11.88671875" style="139" customWidth="1"/>
    <col min="2822" max="2822" width="13.109375" style="139" customWidth="1"/>
    <col min="2823" max="2823" width="13.5546875" style="139" customWidth="1"/>
    <col min="2824" max="2824" width="12.6640625" style="139" customWidth="1"/>
    <col min="2825" max="3074" width="9.109375" style="139"/>
    <col min="3075" max="3075" width="31.88671875" style="139" customWidth="1"/>
    <col min="3076" max="3076" width="13.5546875" style="139" customWidth="1"/>
    <col min="3077" max="3077" width="11.88671875" style="139" customWidth="1"/>
    <col min="3078" max="3078" width="13.109375" style="139" customWidth="1"/>
    <col min="3079" max="3079" width="13.5546875" style="139" customWidth="1"/>
    <col min="3080" max="3080" width="12.6640625" style="139" customWidth="1"/>
    <col min="3081" max="3330" width="9.109375" style="139"/>
    <col min="3331" max="3331" width="31.88671875" style="139" customWidth="1"/>
    <col min="3332" max="3332" width="13.5546875" style="139" customWidth="1"/>
    <col min="3333" max="3333" width="11.88671875" style="139" customWidth="1"/>
    <col min="3334" max="3334" width="13.109375" style="139" customWidth="1"/>
    <col min="3335" max="3335" width="13.5546875" style="139" customWidth="1"/>
    <col min="3336" max="3336" width="12.6640625" style="139" customWidth="1"/>
    <col min="3337" max="3586" width="9.109375" style="139"/>
    <col min="3587" max="3587" width="31.88671875" style="139" customWidth="1"/>
    <col min="3588" max="3588" width="13.5546875" style="139" customWidth="1"/>
    <col min="3589" max="3589" width="11.88671875" style="139" customWidth="1"/>
    <col min="3590" max="3590" width="13.109375" style="139" customWidth="1"/>
    <col min="3591" max="3591" width="13.5546875" style="139" customWidth="1"/>
    <col min="3592" max="3592" width="12.6640625" style="139" customWidth="1"/>
    <col min="3593" max="3842" width="9.109375" style="139"/>
    <col min="3843" max="3843" width="31.88671875" style="139" customWidth="1"/>
    <col min="3844" max="3844" width="13.5546875" style="139" customWidth="1"/>
    <col min="3845" max="3845" width="11.88671875" style="139" customWidth="1"/>
    <col min="3846" max="3846" width="13.109375" style="139" customWidth="1"/>
    <col min="3847" max="3847" width="13.5546875" style="139" customWidth="1"/>
    <col min="3848" max="3848" width="12.6640625" style="139" customWidth="1"/>
    <col min="3849" max="4098" width="9.109375" style="139"/>
    <col min="4099" max="4099" width="31.88671875" style="139" customWidth="1"/>
    <col min="4100" max="4100" width="13.5546875" style="139" customWidth="1"/>
    <col min="4101" max="4101" width="11.88671875" style="139" customWidth="1"/>
    <col min="4102" max="4102" width="13.109375" style="139" customWidth="1"/>
    <col min="4103" max="4103" width="13.5546875" style="139" customWidth="1"/>
    <col min="4104" max="4104" width="12.6640625" style="139" customWidth="1"/>
    <col min="4105" max="4354" width="9.109375" style="139"/>
    <col min="4355" max="4355" width="31.88671875" style="139" customWidth="1"/>
    <col min="4356" max="4356" width="13.5546875" style="139" customWidth="1"/>
    <col min="4357" max="4357" width="11.88671875" style="139" customWidth="1"/>
    <col min="4358" max="4358" width="13.109375" style="139" customWidth="1"/>
    <col min="4359" max="4359" width="13.5546875" style="139" customWidth="1"/>
    <col min="4360" max="4360" width="12.6640625" style="139" customWidth="1"/>
    <col min="4361" max="4610" width="9.109375" style="139"/>
    <col min="4611" max="4611" width="31.88671875" style="139" customWidth="1"/>
    <col min="4612" max="4612" width="13.5546875" style="139" customWidth="1"/>
    <col min="4613" max="4613" width="11.88671875" style="139" customWidth="1"/>
    <col min="4614" max="4614" width="13.109375" style="139" customWidth="1"/>
    <col min="4615" max="4615" width="13.5546875" style="139" customWidth="1"/>
    <col min="4616" max="4616" width="12.6640625" style="139" customWidth="1"/>
    <col min="4617" max="4866" width="9.109375" style="139"/>
    <col min="4867" max="4867" width="31.88671875" style="139" customWidth="1"/>
    <col min="4868" max="4868" width="13.5546875" style="139" customWidth="1"/>
    <col min="4869" max="4869" width="11.88671875" style="139" customWidth="1"/>
    <col min="4870" max="4870" width="13.109375" style="139" customWidth="1"/>
    <col min="4871" max="4871" width="13.5546875" style="139" customWidth="1"/>
    <col min="4872" max="4872" width="12.6640625" style="139" customWidth="1"/>
    <col min="4873" max="5122" width="9.109375" style="139"/>
    <col min="5123" max="5123" width="31.88671875" style="139" customWidth="1"/>
    <col min="5124" max="5124" width="13.5546875" style="139" customWidth="1"/>
    <col min="5125" max="5125" width="11.88671875" style="139" customWidth="1"/>
    <col min="5126" max="5126" width="13.109375" style="139" customWidth="1"/>
    <col min="5127" max="5127" width="13.5546875" style="139" customWidth="1"/>
    <col min="5128" max="5128" width="12.6640625" style="139" customWidth="1"/>
    <col min="5129" max="5378" width="9.109375" style="139"/>
    <col min="5379" max="5379" width="31.88671875" style="139" customWidth="1"/>
    <col min="5380" max="5380" width="13.5546875" style="139" customWidth="1"/>
    <col min="5381" max="5381" width="11.88671875" style="139" customWidth="1"/>
    <col min="5382" max="5382" width="13.109375" style="139" customWidth="1"/>
    <col min="5383" max="5383" width="13.5546875" style="139" customWidth="1"/>
    <col min="5384" max="5384" width="12.6640625" style="139" customWidth="1"/>
    <col min="5385" max="5634" width="9.109375" style="139"/>
    <col min="5635" max="5635" width="31.88671875" style="139" customWidth="1"/>
    <col min="5636" max="5636" width="13.5546875" style="139" customWidth="1"/>
    <col min="5637" max="5637" width="11.88671875" style="139" customWidth="1"/>
    <col min="5638" max="5638" width="13.109375" style="139" customWidth="1"/>
    <col min="5639" max="5639" width="13.5546875" style="139" customWidth="1"/>
    <col min="5640" max="5640" width="12.6640625" style="139" customWidth="1"/>
    <col min="5641" max="5890" width="9.109375" style="139"/>
    <col min="5891" max="5891" width="31.88671875" style="139" customWidth="1"/>
    <col min="5892" max="5892" width="13.5546875" style="139" customWidth="1"/>
    <col min="5893" max="5893" width="11.88671875" style="139" customWidth="1"/>
    <col min="5894" max="5894" width="13.109375" style="139" customWidth="1"/>
    <col min="5895" max="5895" width="13.5546875" style="139" customWidth="1"/>
    <col min="5896" max="5896" width="12.6640625" style="139" customWidth="1"/>
    <col min="5897" max="6146" width="9.109375" style="139"/>
    <col min="6147" max="6147" width="31.88671875" style="139" customWidth="1"/>
    <col min="6148" max="6148" width="13.5546875" style="139" customWidth="1"/>
    <col min="6149" max="6149" width="11.88671875" style="139" customWidth="1"/>
    <col min="6150" max="6150" width="13.109375" style="139" customWidth="1"/>
    <col min="6151" max="6151" width="13.5546875" style="139" customWidth="1"/>
    <col min="6152" max="6152" width="12.6640625" style="139" customWidth="1"/>
    <col min="6153" max="6402" width="9.109375" style="139"/>
    <col min="6403" max="6403" width="31.88671875" style="139" customWidth="1"/>
    <col min="6404" max="6404" width="13.5546875" style="139" customWidth="1"/>
    <col min="6405" max="6405" width="11.88671875" style="139" customWidth="1"/>
    <col min="6406" max="6406" width="13.109375" style="139" customWidth="1"/>
    <col min="6407" max="6407" width="13.5546875" style="139" customWidth="1"/>
    <col min="6408" max="6408" width="12.6640625" style="139" customWidth="1"/>
    <col min="6409" max="6658" width="9.109375" style="139"/>
    <col min="6659" max="6659" width="31.88671875" style="139" customWidth="1"/>
    <col min="6660" max="6660" width="13.5546875" style="139" customWidth="1"/>
    <col min="6661" max="6661" width="11.88671875" style="139" customWidth="1"/>
    <col min="6662" max="6662" width="13.109375" style="139" customWidth="1"/>
    <col min="6663" max="6663" width="13.5546875" style="139" customWidth="1"/>
    <col min="6664" max="6664" width="12.6640625" style="139" customWidth="1"/>
    <col min="6665" max="6914" width="9.109375" style="139"/>
    <col min="6915" max="6915" width="31.88671875" style="139" customWidth="1"/>
    <col min="6916" max="6916" width="13.5546875" style="139" customWidth="1"/>
    <col min="6917" max="6917" width="11.88671875" style="139" customWidth="1"/>
    <col min="6918" max="6918" width="13.109375" style="139" customWidth="1"/>
    <col min="6919" max="6919" width="13.5546875" style="139" customWidth="1"/>
    <col min="6920" max="6920" width="12.6640625" style="139" customWidth="1"/>
    <col min="6921" max="7170" width="9.109375" style="139"/>
    <col min="7171" max="7171" width="31.88671875" style="139" customWidth="1"/>
    <col min="7172" max="7172" width="13.5546875" style="139" customWidth="1"/>
    <col min="7173" max="7173" width="11.88671875" style="139" customWidth="1"/>
    <col min="7174" max="7174" width="13.109375" style="139" customWidth="1"/>
    <col min="7175" max="7175" width="13.5546875" style="139" customWidth="1"/>
    <col min="7176" max="7176" width="12.6640625" style="139" customWidth="1"/>
    <col min="7177" max="7426" width="9.109375" style="139"/>
    <col min="7427" max="7427" width="31.88671875" style="139" customWidth="1"/>
    <col min="7428" max="7428" width="13.5546875" style="139" customWidth="1"/>
    <col min="7429" max="7429" width="11.88671875" style="139" customWidth="1"/>
    <col min="7430" max="7430" width="13.109375" style="139" customWidth="1"/>
    <col min="7431" max="7431" width="13.5546875" style="139" customWidth="1"/>
    <col min="7432" max="7432" width="12.6640625" style="139" customWidth="1"/>
    <col min="7433" max="7682" width="9.109375" style="139"/>
    <col min="7683" max="7683" width="31.88671875" style="139" customWidth="1"/>
    <col min="7684" max="7684" width="13.5546875" style="139" customWidth="1"/>
    <col min="7685" max="7685" width="11.88671875" style="139" customWidth="1"/>
    <col min="7686" max="7686" width="13.109375" style="139" customWidth="1"/>
    <col min="7687" max="7687" width="13.5546875" style="139" customWidth="1"/>
    <col min="7688" max="7688" width="12.6640625" style="139" customWidth="1"/>
    <col min="7689" max="7938" width="9.109375" style="139"/>
    <col min="7939" max="7939" width="31.88671875" style="139" customWidth="1"/>
    <col min="7940" max="7940" width="13.5546875" style="139" customWidth="1"/>
    <col min="7941" max="7941" width="11.88671875" style="139" customWidth="1"/>
    <col min="7942" max="7942" width="13.109375" style="139" customWidth="1"/>
    <col min="7943" max="7943" width="13.5546875" style="139" customWidth="1"/>
    <col min="7944" max="7944" width="12.6640625" style="139" customWidth="1"/>
    <col min="7945" max="8194" width="9.109375" style="139"/>
    <col min="8195" max="8195" width="31.88671875" style="139" customWidth="1"/>
    <col min="8196" max="8196" width="13.5546875" style="139" customWidth="1"/>
    <col min="8197" max="8197" width="11.88671875" style="139" customWidth="1"/>
    <col min="8198" max="8198" width="13.109375" style="139" customWidth="1"/>
    <col min="8199" max="8199" width="13.5546875" style="139" customWidth="1"/>
    <col min="8200" max="8200" width="12.6640625" style="139" customWidth="1"/>
    <col min="8201" max="8450" width="9.109375" style="139"/>
    <col min="8451" max="8451" width="31.88671875" style="139" customWidth="1"/>
    <col min="8452" max="8452" width="13.5546875" style="139" customWidth="1"/>
    <col min="8453" max="8453" width="11.88671875" style="139" customWidth="1"/>
    <col min="8454" max="8454" width="13.109375" style="139" customWidth="1"/>
    <col min="8455" max="8455" width="13.5546875" style="139" customWidth="1"/>
    <col min="8456" max="8456" width="12.6640625" style="139" customWidth="1"/>
    <col min="8457" max="8706" width="9.109375" style="139"/>
    <col min="8707" max="8707" width="31.88671875" style="139" customWidth="1"/>
    <col min="8708" max="8708" width="13.5546875" style="139" customWidth="1"/>
    <col min="8709" max="8709" width="11.88671875" style="139" customWidth="1"/>
    <col min="8710" max="8710" width="13.109375" style="139" customWidth="1"/>
    <col min="8711" max="8711" width="13.5546875" style="139" customWidth="1"/>
    <col min="8712" max="8712" width="12.6640625" style="139" customWidth="1"/>
    <col min="8713" max="8962" width="9.109375" style="139"/>
    <col min="8963" max="8963" width="31.88671875" style="139" customWidth="1"/>
    <col min="8964" max="8964" width="13.5546875" style="139" customWidth="1"/>
    <col min="8965" max="8965" width="11.88671875" style="139" customWidth="1"/>
    <col min="8966" max="8966" width="13.109375" style="139" customWidth="1"/>
    <col min="8967" max="8967" width="13.5546875" style="139" customWidth="1"/>
    <col min="8968" max="8968" width="12.6640625" style="139" customWidth="1"/>
    <col min="8969" max="9218" width="9.109375" style="139"/>
    <col min="9219" max="9219" width="31.88671875" style="139" customWidth="1"/>
    <col min="9220" max="9220" width="13.5546875" style="139" customWidth="1"/>
    <col min="9221" max="9221" width="11.88671875" style="139" customWidth="1"/>
    <col min="9222" max="9222" width="13.109375" style="139" customWidth="1"/>
    <col min="9223" max="9223" width="13.5546875" style="139" customWidth="1"/>
    <col min="9224" max="9224" width="12.6640625" style="139" customWidth="1"/>
    <col min="9225" max="9474" width="9.109375" style="139"/>
    <col min="9475" max="9475" width="31.88671875" style="139" customWidth="1"/>
    <col min="9476" max="9476" width="13.5546875" style="139" customWidth="1"/>
    <col min="9477" max="9477" width="11.88671875" style="139" customWidth="1"/>
    <col min="9478" max="9478" width="13.109375" style="139" customWidth="1"/>
    <col min="9479" max="9479" width="13.5546875" style="139" customWidth="1"/>
    <col min="9480" max="9480" width="12.6640625" style="139" customWidth="1"/>
    <col min="9481" max="9730" width="9.109375" style="139"/>
    <col min="9731" max="9731" width="31.88671875" style="139" customWidth="1"/>
    <col min="9732" max="9732" width="13.5546875" style="139" customWidth="1"/>
    <col min="9733" max="9733" width="11.88671875" style="139" customWidth="1"/>
    <col min="9734" max="9734" width="13.109375" style="139" customWidth="1"/>
    <col min="9735" max="9735" width="13.5546875" style="139" customWidth="1"/>
    <col min="9736" max="9736" width="12.6640625" style="139" customWidth="1"/>
    <col min="9737" max="9986" width="9.109375" style="139"/>
    <col min="9987" max="9987" width="31.88671875" style="139" customWidth="1"/>
    <col min="9988" max="9988" width="13.5546875" style="139" customWidth="1"/>
    <col min="9989" max="9989" width="11.88671875" style="139" customWidth="1"/>
    <col min="9990" max="9990" width="13.109375" style="139" customWidth="1"/>
    <col min="9991" max="9991" width="13.5546875" style="139" customWidth="1"/>
    <col min="9992" max="9992" width="12.6640625" style="139" customWidth="1"/>
    <col min="9993" max="10242" width="9.109375" style="139"/>
    <col min="10243" max="10243" width="31.88671875" style="139" customWidth="1"/>
    <col min="10244" max="10244" width="13.5546875" style="139" customWidth="1"/>
    <col min="10245" max="10245" width="11.88671875" style="139" customWidth="1"/>
    <col min="10246" max="10246" width="13.109375" style="139" customWidth="1"/>
    <col min="10247" max="10247" width="13.5546875" style="139" customWidth="1"/>
    <col min="10248" max="10248" width="12.6640625" style="139" customWidth="1"/>
    <col min="10249" max="10498" width="9.109375" style="139"/>
    <col min="10499" max="10499" width="31.88671875" style="139" customWidth="1"/>
    <col min="10500" max="10500" width="13.5546875" style="139" customWidth="1"/>
    <col min="10501" max="10501" width="11.88671875" style="139" customWidth="1"/>
    <col min="10502" max="10502" width="13.109375" style="139" customWidth="1"/>
    <col min="10503" max="10503" width="13.5546875" style="139" customWidth="1"/>
    <col min="10504" max="10504" width="12.6640625" style="139" customWidth="1"/>
    <col min="10505" max="10754" width="9.109375" style="139"/>
    <col min="10755" max="10755" width="31.88671875" style="139" customWidth="1"/>
    <col min="10756" max="10756" width="13.5546875" style="139" customWidth="1"/>
    <col min="10757" max="10757" width="11.88671875" style="139" customWidth="1"/>
    <col min="10758" max="10758" width="13.109375" style="139" customWidth="1"/>
    <col min="10759" max="10759" width="13.5546875" style="139" customWidth="1"/>
    <col min="10760" max="10760" width="12.6640625" style="139" customWidth="1"/>
    <col min="10761" max="11010" width="9.109375" style="139"/>
    <col min="11011" max="11011" width="31.88671875" style="139" customWidth="1"/>
    <col min="11012" max="11012" width="13.5546875" style="139" customWidth="1"/>
    <col min="11013" max="11013" width="11.88671875" style="139" customWidth="1"/>
    <col min="11014" max="11014" width="13.109375" style="139" customWidth="1"/>
    <col min="11015" max="11015" width="13.5546875" style="139" customWidth="1"/>
    <col min="11016" max="11016" width="12.6640625" style="139" customWidth="1"/>
    <col min="11017" max="11266" width="9.109375" style="139"/>
    <col min="11267" max="11267" width="31.88671875" style="139" customWidth="1"/>
    <col min="11268" max="11268" width="13.5546875" style="139" customWidth="1"/>
    <col min="11269" max="11269" width="11.88671875" style="139" customWidth="1"/>
    <col min="11270" max="11270" width="13.109375" style="139" customWidth="1"/>
    <col min="11271" max="11271" width="13.5546875" style="139" customWidth="1"/>
    <col min="11272" max="11272" width="12.6640625" style="139" customWidth="1"/>
    <col min="11273" max="11522" width="9.109375" style="139"/>
    <col min="11523" max="11523" width="31.88671875" style="139" customWidth="1"/>
    <col min="11524" max="11524" width="13.5546875" style="139" customWidth="1"/>
    <col min="11525" max="11525" width="11.88671875" style="139" customWidth="1"/>
    <col min="11526" max="11526" width="13.109375" style="139" customWidth="1"/>
    <col min="11527" max="11527" width="13.5546875" style="139" customWidth="1"/>
    <col min="11528" max="11528" width="12.6640625" style="139" customWidth="1"/>
    <col min="11529" max="11778" width="9.109375" style="139"/>
    <col min="11779" max="11779" width="31.88671875" style="139" customWidth="1"/>
    <col min="11780" max="11780" width="13.5546875" style="139" customWidth="1"/>
    <col min="11781" max="11781" width="11.88671875" style="139" customWidth="1"/>
    <col min="11782" max="11782" width="13.109375" style="139" customWidth="1"/>
    <col min="11783" max="11783" width="13.5546875" style="139" customWidth="1"/>
    <col min="11784" max="11784" width="12.6640625" style="139" customWidth="1"/>
    <col min="11785" max="12034" width="9.109375" style="139"/>
    <col min="12035" max="12035" width="31.88671875" style="139" customWidth="1"/>
    <col min="12036" max="12036" width="13.5546875" style="139" customWidth="1"/>
    <col min="12037" max="12037" width="11.88671875" style="139" customWidth="1"/>
    <col min="12038" max="12038" width="13.109375" style="139" customWidth="1"/>
    <col min="12039" max="12039" width="13.5546875" style="139" customWidth="1"/>
    <col min="12040" max="12040" width="12.6640625" style="139" customWidth="1"/>
    <col min="12041" max="12290" width="9.109375" style="139"/>
    <col min="12291" max="12291" width="31.88671875" style="139" customWidth="1"/>
    <col min="12292" max="12292" width="13.5546875" style="139" customWidth="1"/>
    <col min="12293" max="12293" width="11.88671875" style="139" customWidth="1"/>
    <col min="12294" max="12294" width="13.109375" style="139" customWidth="1"/>
    <col min="12295" max="12295" width="13.5546875" style="139" customWidth="1"/>
    <col min="12296" max="12296" width="12.6640625" style="139" customWidth="1"/>
    <col min="12297" max="12546" width="9.109375" style="139"/>
    <col min="12547" max="12547" width="31.88671875" style="139" customWidth="1"/>
    <col min="12548" max="12548" width="13.5546875" style="139" customWidth="1"/>
    <col min="12549" max="12549" width="11.88671875" style="139" customWidth="1"/>
    <col min="12550" max="12550" width="13.109375" style="139" customWidth="1"/>
    <col min="12551" max="12551" width="13.5546875" style="139" customWidth="1"/>
    <col min="12552" max="12552" width="12.6640625" style="139" customWidth="1"/>
    <col min="12553" max="12802" width="9.109375" style="139"/>
    <col min="12803" max="12803" width="31.88671875" style="139" customWidth="1"/>
    <col min="12804" max="12804" width="13.5546875" style="139" customWidth="1"/>
    <col min="12805" max="12805" width="11.88671875" style="139" customWidth="1"/>
    <col min="12806" max="12806" width="13.109375" style="139" customWidth="1"/>
    <col min="12807" max="12807" width="13.5546875" style="139" customWidth="1"/>
    <col min="12808" max="12808" width="12.6640625" style="139" customWidth="1"/>
    <col min="12809" max="13058" width="9.109375" style="139"/>
    <col min="13059" max="13059" width="31.88671875" style="139" customWidth="1"/>
    <col min="13060" max="13060" width="13.5546875" style="139" customWidth="1"/>
    <col min="13061" max="13061" width="11.88671875" style="139" customWidth="1"/>
    <col min="13062" max="13062" width="13.109375" style="139" customWidth="1"/>
    <col min="13063" max="13063" width="13.5546875" style="139" customWidth="1"/>
    <col min="13064" max="13064" width="12.6640625" style="139" customWidth="1"/>
    <col min="13065" max="13314" width="9.109375" style="139"/>
    <col min="13315" max="13315" width="31.88671875" style="139" customWidth="1"/>
    <col min="13316" max="13316" width="13.5546875" style="139" customWidth="1"/>
    <col min="13317" max="13317" width="11.88671875" style="139" customWidth="1"/>
    <col min="13318" max="13318" width="13.109375" style="139" customWidth="1"/>
    <col min="13319" max="13319" width="13.5546875" style="139" customWidth="1"/>
    <col min="13320" max="13320" width="12.6640625" style="139" customWidth="1"/>
    <col min="13321" max="13570" width="9.109375" style="139"/>
    <col min="13571" max="13571" width="31.88671875" style="139" customWidth="1"/>
    <col min="13572" max="13572" width="13.5546875" style="139" customWidth="1"/>
    <col min="13573" max="13573" width="11.88671875" style="139" customWidth="1"/>
    <col min="13574" max="13574" width="13.109375" style="139" customWidth="1"/>
    <col min="13575" max="13575" width="13.5546875" style="139" customWidth="1"/>
    <col min="13576" max="13576" width="12.6640625" style="139" customWidth="1"/>
    <col min="13577" max="13826" width="9.109375" style="139"/>
    <col min="13827" max="13827" width="31.88671875" style="139" customWidth="1"/>
    <col min="13828" max="13828" width="13.5546875" style="139" customWidth="1"/>
    <col min="13829" max="13829" width="11.88671875" style="139" customWidth="1"/>
    <col min="13830" max="13830" width="13.109375" style="139" customWidth="1"/>
    <col min="13831" max="13831" width="13.5546875" style="139" customWidth="1"/>
    <col min="13832" max="13832" width="12.6640625" style="139" customWidth="1"/>
    <col min="13833" max="14082" width="9.109375" style="139"/>
    <col min="14083" max="14083" width="31.88671875" style="139" customWidth="1"/>
    <col min="14084" max="14084" width="13.5546875" style="139" customWidth="1"/>
    <col min="14085" max="14085" width="11.88671875" style="139" customWidth="1"/>
    <col min="14086" max="14086" width="13.109375" style="139" customWidth="1"/>
    <col min="14087" max="14087" width="13.5546875" style="139" customWidth="1"/>
    <col min="14088" max="14088" width="12.6640625" style="139" customWidth="1"/>
    <col min="14089" max="14338" width="9.109375" style="139"/>
    <col min="14339" max="14339" width="31.88671875" style="139" customWidth="1"/>
    <col min="14340" max="14340" width="13.5546875" style="139" customWidth="1"/>
    <col min="14341" max="14341" width="11.88671875" style="139" customWidth="1"/>
    <col min="14342" max="14342" width="13.109375" style="139" customWidth="1"/>
    <col min="14343" max="14343" width="13.5546875" style="139" customWidth="1"/>
    <col min="14344" max="14344" width="12.6640625" style="139" customWidth="1"/>
    <col min="14345" max="14594" width="9.109375" style="139"/>
    <col min="14595" max="14595" width="31.88671875" style="139" customWidth="1"/>
    <col min="14596" max="14596" width="13.5546875" style="139" customWidth="1"/>
    <col min="14597" max="14597" width="11.88671875" style="139" customWidth="1"/>
    <col min="14598" max="14598" width="13.109375" style="139" customWidth="1"/>
    <col min="14599" max="14599" width="13.5546875" style="139" customWidth="1"/>
    <col min="14600" max="14600" width="12.6640625" style="139" customWidth="1"/>
    <col min="14601" max="14850" width="9.109375" style="139"/>
    <col min="14851" max="14851" width="31.88671875" style="139" customWidth="1"/>
    <col min="14852" max="14852" width="13.5546875" style="139" customWidth="1"/>
    <col min="14853" max="14853" width="11.88671875" style="139" customWidth="1"/>
    <col min="14854" max="14854" width="13.109375" style="139" customWidth="1"/>
    <col min="14855" max="14855" width="13.5546875" style="139" customWidth="1"/>
    <col min="14856" max="14856" width="12.6640625" style="139" customWidth="1"/>
    <col min="14857" max="15106" width="9.109375" style="139"/>
    <col min="15107" max="15107" width="31.88671875" style="139" customWidth="1"/>
    <col min="15108" max="15108" width="13.5546875" style="139" customWidth="1"/>
    <col min="15109" max="15109" width="11.88671875" style="139" customWidth="1"/>
    <col min="15110" max="15110" width="13.109375" style="139" customWidth="1"/>
    <col min="15111" max="15111" width="13.5546875" style="139" customWidth="1"/>
    <col min="15112" max="15112" width="12.6640625" style="139" customWidth="1"/>
    <col min="15113" max="15362" width="9.109375" style="139"/>
    <col min="15363" max="15363" width="31.88671875" style="139" customWidth="1"/>
    <col min="15364" max="15364" width="13.5546875" style="139" customWidth="1"/>
    <col min="15365" max="15365" width="11.88671875" style="139" customWidth="1"/>
    <col min="15366" max="15366" width="13.109375" style="139" customWidth="1"/>
    <col min="15367" max="15367" width="13.5546875" style="139" customWidth="1"/>
    <col min="15368" max="15368" width="12.6640625" style="139" customWidth="1"/>
    <col min="15369" max="15618" width="9.109375" style="139"/>
    <col min="15619" max="15619" width="31.88671875" style="139" customWidth="1"/>
    <col min="15620" max="15620" width="13.5546875" style="139" customWidth="1"/>
    <col min="15621" max="15621" width="11.88671875" style="139" customWidth="1"/>
    <col min="15622" max="15622" width="13.109375" style="139" customWidth="1"/>
    <col min="15623" max="15623" width="13.5546875" style="139" customWidth="1"/>
    <col min="15624" max="15624" width="12.6640625" style="139" customWidth="1"/>
    <col min="15625" max="15874" width="9.109375" style="139"/>
    <col min="15875" max="15875" width="31.88671875" style="139" customWidth="1"/>
    <col min="15876" max="15876" width="13.5546875" style="139" customWidth="1"/>
    <col min="15877" max="15877" width="11.88671875" style="139" customWidth="1"/>
    <col min="15878" max="15878" width="13.109375" style="139" customWidth="1"/>
    <col min="15879" max="15879" width="13.5546875" style="139" customWidth="1"/>
    <col min="15880" max="15880" width="12.6640625" style="139" customWidth="1"/>
    <col min="15881" max="16130" width="9.109375" style="139"/>
    <col min="16131" max="16131" width="31.88671875" style="139" customWidth="1"/>
    <col min="16132" max="16132" width="13.5546875" style="139" customWidth="1"/>
    <col min="16133" max="16133" width="11.88671875" style="139" customWidth="1"/>
    <col min="16134" max="16134" width="13.109375" style="139" customWidth="1"/>
    <col min="16135" max="16135" width="13.5546875" style="139" customWidth="1"/>
    <col min="16136" max="16136" width="12.6640625" style="139" customWidth="1"/>
    <col min="16137" max="16384" width="9.109375" style="139"/>
  </cols>
  <sheetData>
    <row r="1" spans="1:16" ht="13.8" thickBot="1" x14ac:dyDescent="0.3">
      <c r="A1" s="532" t="s">
        <v>337</v>
      </c>
      <c r="B1" s="532"/>
      <c r="C1" s="532"/>
      <c r="D1" s="532"/>
      <c r="E1" s="532"/>
      <c r="F1" s="532"/>
      <c r="G1" s="532"/>
      <c r="H1" s="532"/>
    </row>
    <row r="2" spans="1:16" s="189" customFormat="1" ht="40.200000000000003" thickBot="1" x14ac:dyDescent="0.35">
      <c r="A2" s="160" t="s">
        <v>338</v>
      </c>
      <c r="B2" s="161" t="str">
        <f>'Розподіл НВ'!A3</f>
        <v>Молоко питне</v>
      </c>
      <c r="C2" s="161" t="str">
        <f>'Розподіл НВ'!A4</f>
        <v>Сир кисломолочний</v>
      </c>
      <c r="D2" s="161" t="str">
        <f>'Розподіл НВ'!A5</f>
        <v>Кефір</v>
      </c>
      <c r="E2" s="161" t="str">
        <f>'Розподіл НВ'!A6</f>
        <v>Сметана</v>
      </c>
      <c r="F2" s="161" t="str">
        <f>'Розподіл НВ'!A7</f>
        <v>Сир м'який</v>
      </c>
      <c r="G2" s="187" t="str">
        <f>'Розподіл НВ'!A8</f>
        <v>Сир Рікотта</v>
      </c>
      <c r="H2" s="188" t="s">
        <v>312</v>
      </c>
      <c r="K2" s="481" t="s">
        <v>127</v>
      </c>
      <c r="L2" s="481"/>
      <c r="M2" s="426"/>
      <c r="N2" s="426"/>
      <c r="O2" s="426"/>
      <c r="P2" s="426"/>
    </row>
    <row r="3" spans="1:16" ht="13.2" customHeight="1" x14ac:dyDescent="0.25">
      <c r="A3" s="190" t="s">
        <v>339</v>
      </c>
      <c r="B3" s="147">
        <f>Матеріали2!$F3+'Молоко-сировина'!$N4</f>
        <v>166805.47199999998</v>
      </c>
      <c r="C3" s="147">
        <f>Матеріали2!$F4+'Молоко-сировина'!$N5</f>
        <v>411754.04799999995</v>
      </c>
      <c r="D3" s="147">
        <f>Матеріали2!$F5+'Молоко-сировина'!$N6</f>
        <v>565414.08745631063</v>
      </c>
      <c r="E3" s="147">
        <f>Матеріали2!$F6+'Молоко-сировина'!$N7</f>
        <v>172172.44342857142</v>
      </c>
      <c r="F3" s="147">
        <f>Матеріали2!$F7+'Молоко-сировина'!$N8</f>
        <v>550007.23199999996</v>
      </c>
      <c r="G3" s="147">
        <f>Матеріали2!$F8+'Молоко-сировина'!$N9</f>
        <v>62214.87071733702</v>
      </c>
      <c r="H3" s="191">
        <f>SUM(B3:G3)</f>
        <v>1928368.153602219</v>
      </c>
      <c r="K3" s="499" t="s">
        <v>228</v>
      </c>
      <c r="L3" s="499"/>
      <c r="M3" s="499"/>
      <c r="N3" s="499"/>
      <c r="O3" s="499"/>
      <c r="P3" s="499"/>
    </row>
    <row r="4" spans="1:16" ht="13.2" customHeight="1" x14ac:dyDescent="0.25">
      <c r="A4" s="192" t="s">
        <v>340</v>
      </c>
      <c r="B4" s="147">
        <f>'Розподіл НВ'!$E3</f>
        <v>102431.39242231367</v>
      </c>
      <c r="C4" s="147">
        <f>'Розподіл НВ'!$E4</f>
        <v>206285.44307271502</v>
      </c>
      <c r="D4" s="147">
        <f>'Розподіл НВ'!$E5</f>
        <v>348067.83832825033</v>
      </c>
      <c r="E4" s="147">
        <f>'Розподіл НВ'!$E6</f>
        <v>57922.513572141659</v>
      </c>
      <c r="F4" s="147">
        <f>'Розподіл НВ'!$E7</f>
        <v>341437.9747410455</v>
      </c>
      <c r="G4" s="147">
        <f>'Розподіл НВ'!$E8</f>
        <v>130886.53015775412</v>
      </c>
      <c r="H4" s="191">
        <f t="shared" ref="H4:H6" si="0">SUM(B4:G4)</f>
        <v>1187031.6922942204</v>
      </c>
      <c r="K4" s="499"/>
      <c r="L4" s="499"/>
      <c r="M4" s="499"/>
      <c r="N4" s="499"/>
      <c r="O4" s="499"/>
      <c r="P4" s="499"/>
    </row>
    <row r="5" spans="1:16" ht="26.4" customHeight="1" x14ac:dyDescent="0.25">
      <c r="A5" s="192" t="s">
        <v>341</v>
      </c>
      <c r="B5" s="149">
        <f>ОП!$B$4*'Розподіл НВ'!$D3</f>
        <v>87168.772359683164</v>
      </c>
      <c r="C5" s="149">
        <f>ОП!$B$4*'Розподіл НВ'!$D4</f>
        <v>175548.22211325081</v>
      </c>
      <c r="D5" s="149">
        <f>ОП!$B$4*'Розподіл НВ'!$D5</f>
        <v>296204.56627076806</v>
      </c>
      <c r="E5" s="149">
        <f>ОП!$B$4*'Розподіл НВ'!$D6</f>
        <v>49291.865322439888</v>
      </c>
      <c r="F5" s="149">
        <f>ОП!$B$4*'Розподіл НВ'!$D7</f>
        <v>290562.57453227718</v>
      </c>
      <c r="G5" s="149">
        <f>ОП!$B$4*'Розподіл НВ'!$D8</f>
        <v>111383.99940158082</v>
      </c>
      <c r="H5" s="191">
        <f t="shared" si="0"/>
        <v>1010160</v>
      </c>
      <c r="K5" s="427"/>
      <c r="L5" s="427"/>
      <c r="M5" s="427"/>
      <c r="N5" s="427"/>
      <c r="O5" s="427"/>
      <c r="P5" s="427"/>
    </row>
    <row r="6" spans="1:16" ht="13.8" customHeight="1" thickBot="1" x14ac:dyDescent="0.3">
      <c r="A6" s="193" t="s">
        <v>119</v>
      </c>
      <c r="B6" s="194">
        <f>(B3+B4+B5)*Довідник!$C$146/100</f>
        <v>3564.0563678199683</v>
      </c>
      <c r="C6" s="194">
        <f>(C3+C4+C5)*Довідник!$C$146/100</f>
        <v>7935.8771318596582</v>
      </c>
      <c r="D6" s="194">
        <f>(D3+D4+D5)*Довідник!$C$146/100</f>
        <v>12096.864920553291</v>
      </c>
      <c r="E6" s="194">
        <f>(E3+E4+E5)*Довідник!$C$146/100</f>
        <v>2793.8682232315296</v>
      </c>
      <c r="F6" s="194">
        <f>(F3+F4+F5)*Довідник!$C$146/100</f>
        <v>11820.077812733227</v>
      </c>
      <c r="G6" s="194">
        <f>(G3+G4+G5)*Довідник!$C$146/100</f>
        <v>3044.85400276672</v>
      </c>
      <c r="H6" s="191">
        <f t="shared" si="0"/>
        <v>41255.598458964392</v>
      </c>
      <c r="K6" s="533" t="s">
        <v>408</v>
      </c>
      <c r="L6" s="533"/>
      <c r="M6" s="533"/>
      <c r="N6" s="533"/>
      <c r="O6" s="533"/>
      <c r="P6" s="533"/>
    </row>
    <row r="7" spans="1:16" s="197" customFormat="1" ht="13.8" customHeight="1" thickBot="1" x14ac:dyDescent="0.3">
      <c r="A7" s="195" t="s">
        <v>342</v>
      </c>
      <c r="B7" s="153">
        <f>SUM(B3:B6)</f>
        <v>359969.69314981677</v>
      </c>
      <c r="C7" s="153">
        <f t="shared" ref="C7:H7" si="1">SUM(C3:C6)</f>
        <v>801523.59031782544</v>
      </c>
      <c r="D7" s="153">
        <f t="shared" si="1"/>
        <v>1221783.3569758823</v>
      </c>
      <c r="E7" s="153">
        <f t="shared" si="1"/>
        <v>282180.69054638449</v>
      </c>
      <c r="F7" s="153">
        <f t="shared" si="1"/>
        <v>1193827.8590860558</v>
      </c>
      <c r="G7" s="153">
        <f t="shared" si="1"/>
        <v>307530.2542794387</v>
      </c>
      <c r="H7" s="196">
        <f t="shared" si="1"/>
        <v>4166815.444355404</v>
      </c>
      <c r="K7" s="533"/>
      <c r="L7" s="533"/>
      <c r="M7" s="533"/>
      <c r="N7" s="533"/>
      <c r="O7" s="533"/>
      <c r="P7" s="533"/>
    </row>
    <row r="8" spans="1:16" ht="13.2" customHeight="1" x14ac:dyDescent="0.25">
      <c r="A8" s="198"/>
      <c r="B8" s="199"/>
      <c r="C8" s="199"/>
      <c r="D8" s="199"/>
      <c r="E8" s="199"/>
      <c r="F8" s="199"/>
      <c r="G8" s="199"/>
      <c r="H8" s="199"/>
      <c r="K8" s="533"/>
      <c r="L8" s="533"/>
      <c r="M8" s="533"/>
      <c r="N8" s="533"/>
      <c r="O8" s="533"/>
      <c r="P8" s="533"/>
    </row>
    <row r="9" spans="1:16" ht="13.2" customHeight="1" x14ac:dyDescent="0.25">
      <c r="K9" s="533"/>
      <c r="L9" s="533"/>
      <c r="M9" s="533"/>
      <c r="N9" s="533"/>
      <c r="O9" s="533"/>
      <c r="P9" s="533"/>
    </row>
    <row r="10" spans="1:16" ht="13.8" customHeight="1" thickBot="1" x14ac:dyDescent="0.3">
      <c r="A10" s="532" t="s">
        <v>337</v>
      </c>
      <c r="B10" s="532"/>
      <c r="C10" s="532"/>
      <c r="D10" s="532"/>
      <c r="E10" s="532"/>
      <c r="F10" s="532"/>
      <c r="G10" s="532"/>
      <c r="H10" s="532"/>
      <c r="K10" s="533"/>
      <c r="L10" s="533"/>
      <c r="M10" s="533"/>
      <c r="N10" s="533"/>
      <c r="O10" s="533"/>
      <c r="P10" s="533"/>
    </row>
    <row r="11" spans="1:16" ht="40.200000000000003" thickBot="1" x14ac:dyDescent="0.3">
      <c r="A11" s="160" t="s">
        <v>338</v>
      </c>
      <c r="B11" s="161" t="str">
        <f>B2</f>
        <v>Молоко питне</v>
      </c>
      <c r="C11" s="161" t="str">
        <f t="shared" ref="C11:G11" si="2">C2</f>
        <v>Сир кисломолочний</v>
      </c>
      <c r="D11" s="161" t="str">
        <f t="shared" si="2"/>
        <v>Кефір</v>
      </c>
      <c r="E11" s="161" t="str">
        <f t="shared" si="2"/>
        <v>Сметана</v>
      </c>
      <c r="F11" s="161" t="str">
        <f t="shared" si="2"/>
        <v>Сир м'який</v>
      </c>
      <c r="G11" s="161" t="str">
        <f t="shared" si="2"/>
        <v>Сир Рікотта</v>
      </c>
      <c r="H11" s="188" t="s">
        <v>312</v>
      </c>
      <c r="K11" s="533"/>
      <c r="L11" s="533"/>
      <c r="M11" s="533"/>
      <c r="N11" s="533"/>
      <c r="O11" s="533"/>
      <c r="P11" s="533"/>
    </row>
    <row r="12" spans="1:16" ht="13.2" customHeight="1" x14ac:dyDescent="0.25">
      <c r="A12" s="190" t="s">
        <v>339</v>
      </c>
      <c r="B12" s="147">
        <f>Матеріали2!$F14+'Молоко-сировина'!$N16</f>
        <v>404660.78399999999</v>
      </c>
      <c r="C12" s="147">
        <f>Матеріали2!$F15+'Молоко-сировина'!$N17</f>
        <v>983225.37600000005</v>
      </c>
      <c r="D12" s="147">
        <f>Матеріали2!$F16+'Молоко-сировина'!$N18</f>
        <v>1358631.6172427181</v>
      </c>
      <c r="E12" s="147">
        <f>Матеріали2!$F17+'Молоко-сировина'!$N19</f>
        <v>416604.72685714287</v>
      </c>
      <c r="F12" s="147">
        <f>Матеріали2!$F18+'Молоко-сировина'!$N20</f>
        <v>1324344.3839999998</v>
      </c>
      <c r="G12" s="147">
        <f>Матеріали2!$F19+'Молоко-сировина'!$N21</f>
        <v>138456.27289098478</v>
      </c>
      <c r="H12" s="191">
        <f>SUM(B12:G12)</f>
        <v>4625923.1609908463</v>
      </c>
      <c r="K12" s="533"/>
      <c r="L12" s="533"/>
      <c r="M12" s="533"/>
      <c r="N12" s="533"/>
      <c r="O12" s="533"/>
      <c r="P12" s="533"/>
    </row>
    <row r="13" spans="1:16" ht="13.2" customHeight="1" x14ac:dyDescent="0.25">
      <c r="A13" s="192" t="s">
        <v>340</v>
      </c>
      <c r="B13" s="147">
        <f>'Розподіл НВ'!$E13</f>
        <v>123165.75478815779</v>
      </c>
      <c r="C13" s="147">
        <f>'Розподіл НВ'!$E14</f>
        <v>248042.14505948441</v>
      </c>
      <c r="D13" s="147">
        <f>'Розподіл НВ'!$E15</f>
        <v>418524.40947432251</v>
      </c>
      <c r="E13" s="147">
        <f>'Розподіл НВ'!$E16</f>
        <v>69647.301814732084</v>
      </c>
      <c r="F13" s="147">
        <f>'Розподіл НВ'!$E17</f>
        <v>410552.51596052601</v>
      </c>
      <c r="G13" s="147">
        <f>'Розподіл НВ'!$E18</f>
        <v>157380.83703889023</v>
      </c>
      <c r="H13" s="191">
        <f t="shared" ref="H13:H15" si="3">SUM(B13:G13)</f>
        <v>1427312.9641361129</v>
      </c>
      <c r="K13" s="533"/>
      <c r="L13" s="533"/>
      <c r="M13" s="533"/>
      <c r="N13" s="533"/>
      <c r="O13" s="533"/>
      <c r="P13" s="533"/>
    </row>
    <row r="14" spans="1:16" ht="26.4" customHeight="1" x14ac:dyDescent="0.25">
      <c r="A14" s="192" t="s">
        <v>341</v>
      </c>
      <c r="B14" s="149">
        <f>ОП!$C$4*'Розподіл НВ'!$D13</f>
        <v>96643.638920518308</v>
      </c>
      <c r="C14" s="149">
        <f>ОП!$C$4*'Розподіл НВ'!$D14</f>
        <v>194629.55060382158</v>
      </c>
      <c r="D14" s="149">
        <f>ОП!$C$4*'Розподіл НВ'!$D15</f>
        <v>328400.71477846021</v>
      </c>
      <c r="E14" s="149">
        <f>ОП!$C$4*'Розподіл НВ'!$D16</f>
        <v>54649.676770531187</v>
      </c>
      <c r="F14" s="149">
        <f>ОП!$C$4*'Розподіл НВ'!$D17</f>
        <v>322145.4630683944</v>
      </c>
      <c r="G14" s="149">
        <f>ОП!$C$4*'Розподіл НВ'!$D18</f>
        <v>123490.95585827439</v>
      </c>
      <c r="H14" s="191">
        <f t="shared" si="3"/>
        <v>1119960</v>
      </c>
      <c r="K14" s="533"/>
      <c r="L14" s="533"/>
      <c r="M14" s="533"/>
      <c r="N14" s="533"/>
      <c r="O14" s="533"/>
      <c r="P14" s="533"/>
    </row>
    <row r="15" spans="1:16" ht="13.8" thickBot="1" x14ac:dyDescent="0.3">
      <c r="A15" s="193" t="s">
        <v>119</v>
      </c>
      <c r="B15" s="194">
        <f>(B12+B13+B14)*Довідник!$C$146/100</f>
        <v>6244.7017770867606</v>
      </c>
      <c r="C15" s="194">
        <f>(C12+C13+C14)*Довідник!$C$146/100</f>
        <v>14258.970716633061</v>
      </c>
      <c r="D15" s="194">
        <f>(D12+D13+D14)*Довідник!$C$146/100</f>
        <v>21055.567414955007</v>
      </c>
      <c r="E15" s="194">
        <f>(E12+E13+E14)*Довідник!$C$146/100</f>
        <v>5409.0170544240609</v>
      </c>
      <c r="F15" s="194">
        <f>(F12+F13+F14)*Довідник!$C$146/100</f>
        <v>20570.423630289202</v>
      </c>
      <c r="G15" s="194">
        <f>(G12+G13+G14)*Довідник!$C$146/100</f>
        <v>4193.2806578814934</v>
      </c>
      <c r="H15" s="191">
        <f t="shared" si="3"/>
        <v>71731.961251269589</v>
      </c>
      <c r="K15" s="533"/>
      <c r="L15" s="533"/>
      <c r="M15" s="533"/>
      <c r="N15" s="533"/>
      <c r="O15" s="533"/>
      <c r="P15" s="533"/>
    </row>
    <row r="16" spans="1:16" ht="13.8" thickBot="1" x14ac:dyDescent="0.3">
      <c r="A16" s="195" t="s">
        <v>342</v>
      </c>
      <c r="B16" s="153">
        <f>SUM(B12:B15)</f>
        <v>630714.87948576279</v>
      </c>
      <c r="C16" s="153">
        <f t="shared" ref="C16" si="4">SUM(C12:C15)</f>
        <v>1440156.0423799392</v>
      </c>
      <c r="D16" s="153">
        <f t="shared" ref="D16" si="5">SUM(D12:D15)</f>
        <v>2126612.308910456</v>
      </c>
      <c r="E16" s="153">
        <f t="shared" ref="E16" si="6">SUM(E12:E15)</f>
        <v>546310.72249683016</v>
      </c>
      <c r="F16" s="153">
        <f t="shared" ref="F16" si="7">SUM(F12:F15)</f>
        <v>2077612.7866592095</v>
      </c>
      <c r="G16" s="153">
        <f t="shared" ref="G16" si="8">SUM(G12:G15)</f>
        <v>423521.34644603089</v>
      </c>
      <c r="H16" s="196">
        <f t="shared" ref="H16" si="9">SUM(H12:H15)</f>
        <v>7244928.0863782298</v>
      </c>
    </row>
    <row r="19" spans="1:8" ht="13.8" thickBot="1" x14ac:dyDescent="0.3">
      <c r="A19" s="532" t="s">
        <v>337</v>
      </c>
      <c r="B19" s="532"/>
      <c r="C19" s="532"/>
      <c r="D19" s="532"/>
      <c r="E19" s="532"/>
      <c r="F19" s="532"/>
      <c r="G19" s="532"/>
      <c r="H19" s="532"/>
    </row>
    <row r="20" spans="1:8" ht="40.200000000000003" customHeight="1" thickBot="1" x14ac:dyDescent="0.3">
      <c r="A20" s="160" t="s">
        <v>338</v>
      </c>
      <c r="B20" s="161" t="str">
        <f>B2</f>
        <v>Молоко питне</v>
      </c>
      <c r="C20" s="161" t="str">
        <f t="shared" ref="C20:G20" si="10">C2</f>
        <v>Сир кисломолочний</v>
      </c>
      <c r="D20" s="161" t="str">
        <f t="shared" si="10"/>
        <v>Кефір</v>
      </c>
      <c r="E20" s="161" t="str">
        <f t="shared" si="10"/>
        <v>Сметана</v>
      </c>
      <c r="F20" s="161" t="str">
        <f t="shared" si="10"/>
        <v>Сир м'який</v>
      </c>
      <c r="G20" s="161" t="str">
        <f t="shared" si="10"/>
        <v>Сир Рікотта</v>
      </c>
      <c r="H20" s="188" t="s">
        <v>312</v>
      </c>
    </row>
    <row r="21" spans="1:8" x14ac:dyDescent="0.25">
      <c r="A21" s="190" t="s">
        <v>339</v>
      </c>
      <c r="B21" s="147">
        <f>Матеріали2!F25+'Молоко-сировина'!N28</f>
        <v>629763.11199999996</v>
      </c>
      <c r="C21" s="147">
        <f>Матеріали2!$F26+'Молоко-сировина'!$N29</f>
        <v>1509508.5279999999</v>
      </c>
      <c r="D21" s="147">
        <f>Матеріали2!$F27+'Молоко-сировина'!$N30</f>
        <v>2097218.9783300972</v>
      </c>
      <c r="E21" s="147">
        <f>Матеріали2!$F28+'Молоко-сировина'!$N31</f>
        <v>646932.22628571431</v>
      </c>
      <c r="F21" s="147">
        <f>Матеріали2!$F29+'Молоко-сировина'!$N32</f>
        <v>2047931.9520000003</v>
      </c>
      <c r="G21" s="147">
        <f>Матеріали2!$F30+'Молоко-сировина'!$N33</f>
        <v>199027.37322773927</v>
      </c>
      <c r="H21" s="191">
        <f>SUM(B21:G21)</f>
        <v>7130382.1698435517</v>
      </c>
    </row>
    <row r="22" spans="1:8" ht="13.2" customHeight="1" x14ac:dyDescent="0.25">
      <c r="A22" s="192" t="s">
        <v>340</v>
      </c>
      <c r="B22" s="147">
        <f>'Розподіл НВ'!$E23</f>
        <v>139540.50339754624</v>
      </c>
      <c r="C22" s="147">
        <f>'Розподіл НВ'!$E24</f>
        <v>281019.06934228062</v>
      </c>
      <c r="D22" s="147">
        <f>'Розподіл НВ'!$E25</f>
        <v>474166.7591178756</v>
      </c>
      <c r="E22" s="147">
        <f>'Розподіл НВ'!$E26</f>
        <v>78906.832278374379</v>
      </c>
      <c r="F22" s="147">
        <f>'Розподіл НВ'!$E27</f>
        <v>465135.01132515428</v>
      </c>
      <c r="G22" s="147">
        <f>'Розподіл НВ'!$E28</f>
        <v>178304.4423614855</v>
      </c>
      <c r="H22" s="191">
        <f t="shared" ref="H22:H24" si="11">SUM(B22:G22)</f>
        <v>1617072.6178227165</v>
      </c>
    </row>
    <row r="23" spans="1:8" ht="26.4" x14ac:dyDescent="0.25">
      <c r="A23" s="192" t="s">
        <v>341</v>
      </c>
      <c r="B23" s="149">
        <f>ОП!$D$4*'Розподіл НВ'!$D23</f>
        <v>106371.16858964236</v>
      </c>
      <c r="C23" s="149">
        <f>ОП!$D$4*'Розподіл НВ'!$D24</f>
        <v>214219.71452080755</v>
      </c>
      <c r="D23" s="149">
        <f>ОП!$D$4*'Розподіл НВ'!$D25</f>
        <v>361455.42724635755</v>
      </c>
      <c r="E23" s="149">
        <f>ОП!$D$4*'Розподіл НВ'!$D26</f>
        <v>60150.363190571581</v>
      </c>
      <c r="F23" s="149">
        <f>ОП!$D$4*'Розподіл НВ'!$D27</f>
        <v>354570.56196547463</v>
      </c>
      <c r="G23" s="149">
        <f>ОП!$D$4*'Розподіл НВ'!$D28</f>
        <v>135920.76448714646</v>
      </c>
      <c r="H23" s="191">
        <f t="shared" si="11"/>
        <v>1232688</v>
      </c>
    </row>
    <row r="24" spans="1:8" ht="13.8" thickBot="1" x14ac:dyDescent="0.3">
      <c r="A24" s="193" t="s">
        <v>119</v>
      </c>
      <c r="B24" s="194">
        <f>(B21+B22+B23)*Довідник!$C$146/100</f>
        <v>8756.7478398718868</v>
      </c>
      <c r="C24" s="194">
        <f>(C21+C22+C23)*Довідник!$C$146/100</f>
        <v>20047.473118630882</v>
      </c>
      <c r="D24" s="194">
        <f>(D21+D22+D23)*Довідник!$C$146/100</f>
        <v>29328.411646943307</v>
      </c>
      <c r="E24" s="194">
        <f>(E21+E22+E23)*Довідник!$C$146/100</f>
        <v>7859.8942175466018</v>
      </c>
      <c r="F24" s="194">
        <f>(F21+F22+F23)*Довідник!$C$146/100</f>
        <v>28676.375252906288</v>
      </c>
      <c r="G24" s="194">
        <f>(G21+G22+G23)*Довідник!$C$146/100</f>
        <v>5132.5258007637131</v>
      </c>
      <c r="H24" s="191">
        <f t="shared" si="11"/>
        <v>99801.427876662681</v>
      </c>
    </row>
    <row r="25" spans="1:8" ht="13.8" thickBot="1" x14ac:dyDescent="0.3">
      <c r="A25" s="195" t="s">
        <v>342</v>
      </c>
      <c r="B25" s="153">
        <f>SUM(B21:B24)</f>
        <v>884431.53182706051</v>
      </c>
      <c r="C25" s="153">
        <f t="shared" ref="C25" si="12">SUM(C21:C24)</f>
        <v>2024794.7849817192</v>
      </c>
      <c r="D25" s="153">
        <f t="shared" ref="D25" si="13">SUM(D21:D24)</f>
        <v>2962169.5763412742</v>
      </c>
      <c r="E25" s="153">
        <f t="shared" ref="E25" si="14">SUM(E21:E24)</f>
        <v>793849.31597220676</v>
      </c>
      <c r="F25" s="153">
        <f t="shared" ref="F25" si="15">SUM(F21:F24)</f>
        <v>2896313.9005435351</v>
      </c>
      <c r="G25" s="153">
        <f t="shared" ref="G25" si="16">SUM(G21:G24)</f>
        <v>518385.10587713495</v>
      </c>
      <c r="H25" s="196">
        <f t="shared" ref="H25" si="17">SUM(H21:H24)</f>
        <v>10079944.215542931</v>
      </c>
    </row>
  </sheetData>
  <sheetProtection algorithmName="SHA-512" hashValue="3zpS9NQh1FD7kt/pAjuyzBe3KiCTg447gMqJZULRTqXnorKv22ZDe7mctPNCZ29bDN0fUplvnpoNqVnH//uuVg==" saltValue="DfKL+2mnKchxqQ7synbO5w==" spinCount="100000" sheet="1" objects="1" scenarios="1"/>
  <mergeCells count="6">
    <mergeCell ref="A10:H10"/>
    <mergeCell ref="A19:H19"/>
    <mergeCell ref="A1:H1"/>
    <mergeCell ref="K2:L2"/>
    <mergeCell ref="K3:P4"/>
    <mergeCell ref="K6:P1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F0"/>
  </sheetPr>
  <dimension ref="A1:L28"/>
  <sheetViews>
    <sheetView workbookViewId="0">
      <selection activeCell="Q9" sqref="Q9"/>
    </sheetView>
  </sheetViews>
  <sheetFormatPr defaultRowHeight="13.2" x14ac:dyDescent="0.25"/>
  <cols>
    <col min="1" max="1" width="20.44140625" style="139" customWidth="1"/>
    <col min="2" max="2" width="13" style="139" customWidth="1"/>
    <col min="3" max="3" width="14.5546875" style="139" customWidth="1"/>
    <col min="4" max="4" width="15.5546875" style="139" customWidth="1"/>
    <col min="5" max="256" width="9.109375" style="139"/>
    <col min="257" max="257" width="20.44140625" style="139" customWidth="1"/>
    <col min="258" max="258" width="13" style="139" customWidth="1"/>
    <col min="259" max="259" width="14.5546875" style="139" customWidth="1"/>
    <col min="260" max="260" width="15.5546875" style="139" customWidth="1"/>
    <col min="261" max="512" width="9.109375" style="139"/>
    <col min="513" max="513" width="20.44140625" style="139" customWidth="1"/>
    <col min="514" max="514" width="13" style="139" customWidth="1"/>
    <col min="515" max="515" width="14.5546875" style="139" customWidth="1"/>
    <col min="516" max="516" width="15.5546875" style="139" customWidth="1"/>
    <col min="517" max="768" width="9.109375" style="139"/>
    <col min="769" max="769" width="20.44140625" style="139" customWidth="1"/>
    <col min="770" max="770" width="13" style="139" customWidth="1"/>
    <col min="771" max="771" width="14.5546875" style="139" customWidth="1"/>
    <col min="772" max="772" width="15.5546875" style="139" customWidth="1"/>
    <col min="773" max="1024" width="9.109375" style="139"/>
    <col min="1025" max="1025" width="20.44140625" style="139" customWidth="1"/>
    <col min="1026" max="1026" width="13" style="139" customWidth="1"/>
    <col min="1027" max="1027" width="14.5546875" style="139" customWidth="1"/>
    <col min="1028" max="1028" width="15.5546875" style="139" customWidth="1"/>
    <col min="1029" max="1280" width="9.109375" style="139"/>
    <col min="1281" max="1281" width="20.44140625" style="139" customWidth="1"/>
    <col min="1282" max="1282" width="13" style="139" customWidth="1"/>
    <col min="1283" max="1283" width="14.5546875" style="139" customWidth="1"/>
    <col min="1284" max="1284" width="15.5546875" style="139" customWidth="1"/>
    <col min="1285" max="1536" width="9.109375" style="139"/>
    <col min="1537" max="1537" width="20.44140625" style="139" customWidth="1"/>
    <col min="1538" max="1538" width="13" style="139" customWidth="1"/>
    <col min="1539" max="1539" width="14.5546875" style="139" customWidth="1"/>
    <col min="1540" max="1540" width="15.5546875" style="139" customWidth="1"/>
    <col min="1541" max="1792" width="9.109375" style="139"/>
    <col min="1793" max="1793" width="20.44140625" style="139" customWidth="1"/>
    <col min="1794" max="1794" width="13" style="139" customWidth="1"/>
    <col min="1795" max="1795" width="14.5546875" style="139" customWidth="1"/>
    <col min="1796" max="1796" width="15.5546875" style="139" customWidth="1"/>
    <col min="1797" max="2048" width="9.109375" style="139"/>
    <col min="2049" max="2049" width="20.44140625" style="139" customWidth="1"/>
    <col min="2050" max="2050" width="13" style="139" customWidth="1"/>
    <col min="2051" max="2051" width="14.5546875" style="139" customWidth="1"/>
    <col min="2052" max="2052" width="15.5546875" style="139" customWidth="1"/>
    <col min="2053" max="2304" width="9.109375" style="139"/>
    <col min="2305" max="2305" width="20.44140625" style="139" customWidth="1"/>
    <col min="2306" max="2306" width="13" style="139" customWidth="1"/>
    <col min="2307" max="2307" width="14.5546875" style="139" customWidth="1"/>
    <col min="2308" max="2308" width="15.5546875" style="139" customWidth="1"/>
    <col min="2309" max="2560" width="9.109375" style="139"/>
    <col min="2561" max="2561" width="20.44140625" style="139" customWidth="1"/>
    <col min="2562" max="2562" width="13" style="139" customWidth="1"/>
    <col min="2563" max="2563" width="14.5546875" style="139" customWidth="1"/>
    <col min="2564" max="2564" width="15.5546875" style="139" customWidth="1"/>
    <col min="2565" max="2816" width="9.109375" style="139"/>
    <col min="2817" max="2817" width="20.44140625" style="139" customWidth="1"/>
    <col min="2818" max="2818" width="13" style="139" customWidth="1"/>
    <col min="2819" max="2819" width="14.5546875" style="139" customWidth="1"/>
    <col min="2820" max="2820" width="15.5546875" style="139" customWidth="1"/>
    <col min="2821" max="3072" width="9.109375" style="139"/>
    <col min="3073" max="3073" width="20.44140625" style="139" customWidth="1"/>
    <col min="3074" max="3074" width="13" style="139" customWidth="1"/>
    <col min="3075" max="3075" width="14.5546875" style="139" customWidth="1"/>
    <col min="3076" max="3076" width="15.5546875" style="139" customWidth="1"/>
    <col min="3077" max="3328" width="9.109375" style="139"/>
    <col min="3329" max="3329" width="20.44140625" style="139" customWidth="1"/>
    <col min="3330" max="3330" width="13" style="139" customWidth="1"/>
    <col min="3331" max="3331" width="14.5546875" style="139" customWidth="1"/>
    <col min="3332" max="3332" width="15.5546875" style="139" customWidth="1"/>
    <col min="3333" max="3584" width="9.109375" style="139"/>
    <col min="3585" max="3585" width="20.44140625" style="139" customWidth="1"/>
    <col min="3586" max="3586" width="13" style="139" customWidth="1"/>
    <col min="3587" max="3587" width="14.5546875" style="139" customWidth="1"/>
    <col min="3588" max="3588" width="15.5546875" style="139" customWidth="1"/>
    <col min="3589" max="3840" width="9.109375" style="139"/>
    <col min="3841" max="3841" width="20.44140625" style="139" customWidth="1"/>
    <col min="3842" max="3842" width="13" style="139" customWidth="1"/>
    <col min="3843" max="3843" width="14.5546875" style="139" customWidth="1"/>
    <col min="3844" max="3844" width="15.5546875" style="139" customWidth="1"/>
    <col min="3845" max="4096" width="9.109375" style="139"/>
    <col min="4097" max="4097" width="20.44140625" style="139" customWidth="1"/>
    <col min="4098" max="4098" width="13" style="139" customWidth="1"/>
    <col min="4099" max="4099" width="14.5546875" style="139" customWidth="1"/>
    <col min="4100" max="4100" width="15.5546875" style="139" customWidth="1"/>
    <col min="4101" max="4352" width="9.109375" style="139"/>
    <col min="4353" max="4353" width="20.44140625" style="139" customWidth="1"/>
    <col min="4354" max="4354" width="13" style="139" customWidth="1"/>
    <col min="4355" max="4355" width="14.5546875" style="139" customWidth="1"/>
    <col min="4356" max="4356" width="15.5546875" style="139" customWidth="1"/>
    <col min="4357" max="4608" width="9.109375" style="139"/>
    <col min="4609" max="4609" width="20.44140625" style="139" customWidth="1"/>
    <col min="4610" max="4610" width="13" style="139" customWidth="1"/>
    <col min="4611" max="4611" width="14.5546875" style="139" customWidth="1"/>
    <col min="4612" max="4612" width="15.5546875" style="139" customWidth="1"/>
    <col min="4613" max="4864" width="9.109375" style="139"/>
    <col min="4865" max="4865" width="20.44140625" style="139" customWidth="1"/>
    <col min="4866" max="4866" width="13" style="139" customWidth="1"/>
    <col min="4867" max="4867" width="14.5546875" style="139" customWidth="1"/>
    <col min="4868" max="4868" width="15.5546875" style="139" customWidth="1"/>
    <col min="4869" max="5120" width="9.109375" style="139"/>
    <col min="5121" max="5121" width="20.44140625" style="139" customWidth="1"/>
    <col min="5122" max="5122" width="13" style="139" customWidth="1"/>
    <col min="5123" max="5123" width="14.5546875" style="139" customWidth="1"/>
    <col min="5124" max="5124" width="15.5546875" style="139" customWidth="1"/>
    <col min="5125" max="5376" width="9.109375" style="139"/>
    <col min="5377" max="5377" width="20.44140625" style="139" customWidth="1"/>
    <col min="5378" max="5378" width="13" style="139" customWidth="1"/>
    <col min="5379" max="5379" width="14.5546875" style="139" customWidth="1"/>
    <col min="5380" max="5380" width="15.5546875" style="139" customWidth="1"/>
    <col min="5381" max="5632" width="9.109375" style="139"/>
    <col min="5633" max="5633" width="20.44140625" style="139" customWidth="1"/>
    <col min="5634" max="5634" width="13" style="139" customWidth="1"/>
    <col min="5635" max="5635" width="14.5546875" style="139" customWidth="1"/>
    <col min="5636" max="5636" width="15.5546875" style="139" customWidth="1"/>
    <col min="5637" max="5888" width="9.109375" style="139"/>
    <col min="5889" max="5889" width="20.44140625" style="139" customWidth="1"/>
    <col min="5890" max="5890" width="13" style="139" customWidth="1"/>
    <col min="5891" max="5891" width="14.5546875" style="139" customWidth="1"/>
    <col min="5892" max="5892" width="15.5546875" style="139" customWidth="1"/>
    <col min="5893" max="6144" width="9.109375" style="139"/>
    <col min="6145" max="6145" width="20.44140625" style="139" customWidth="1"/>
    <col min="6146" max="6146" width="13" style="139" customWidth="1"/>
    <col min="6147" max="6147" width="14.5546875" style="139" customWidth="1"/>
    <col min="6148" max="6148" width="15.5546875" style="139" customWidth="1"/>
    <col min="6149" max="6400" width="9.109375" style="139"/>
    <col min="6401" max="6401" width="20.44140625" style="139" customWidth="1"/>
    <col min="6402" max="6402" width="13" style="139" customWidth="1"/>
    <col min="6403" max="6403" width="14.5546875" style="139" customWidth="1"/>
    <col min="6404" max="6404" width="15.5546875" style="139" customWidth="1"/>
    <col min="6405" max="6656" width="9.109375" style="139"/>
    <col min="6657" max="6657" width="20.44140625" style="139" customWidth="1"/>
    <col min="6658" max="6658" width="13" style="139" customWidth="1"/>
    <col min="6659" max="6659" width="14.5546875" style="139" customWidth="1"/>
    <col min="6660" max="6660" width="15.5546875" style="139" customWidth="1"/>
    <col min="6661" max="6912" width="9.109375" style="139"/>
    <col min="6913" max="6913" width="20.44140625" style="139" customWidth="1"/>
    <col min="6914" max="6914" width="13" style="139" customWidth="1"/>
    <col min="6915" max="6915" width="14.5546875" style="139" customWidth="1"/>
    <col min="6916" max="6916" width="15.5546875" style="139" customWidth="1"/>
    <col min="6917" max="7168" width="9.109375" style="139"/>
    <col min="7169" max="7169" width="20.44140625" style="139" customWidth="1"/>
    <col min="7170" max="7170" width="13" style="139" customWidth="1"/>
    <col min="7171" max="7171" width="14.5546875" style="139" customWidth="1"/>
    <col min="7172" max="7172" width="15.5546875" style="139" customWidth="1"/>
    <col min="7173" max="7424" width="9.109375" style="139"/>
    <col min="7425" max="7425" width="20.44140625" style="139" customWidth="1"/>
    <col min="7426" max="7426" width="13" style="139" customWidth="1"/>
    <col min="7427" max="7427" width="14.5546875" style="139" customWidth="1"/>
    <col min="7428" max="7428" width="15.5546875" style="139" customWidth="1"/>
    <col min="7429" max="7680" width="9.109375" style="139"/>
    <col min="7681" max="7681" width="20.44140625" style="139" customWidth="1"/>
    <col min="7682" max="7682" width="13" style="139" customWidth="1"/>
    <col min="7683" max="7683" width="14.5546875" style="139" customWidth="1"/>
    <col min="7684" max="7684" width="15.5546875" style="139" customWidth="1"/>
    <col min="7685" max="7936" width="9.109375" style="139"/>
    <col min="7937" max="7937" width="20.44140625" style="139" customWidth="1"/>
    <col min="7938" max="7938" width="13" style="139" customWidth="1"/>
    <col min="7939" max="7939" width="14.5546875" style="139" customWidth="1"/>
    <col min="7940" max="7940" width="15.5546875" style="139" customWidth="1"/>
    <col min="7941" max="8192" width="9.109375" style="139"/>
    <col min="8193" max="8193" width="20.44140625" style="139" customWidth="1"/>
    <col min="8194" max="8194" width="13" style="139" customWidth="1"/>
    <col min="8195" max="8195" width="14.5546875" style="139" customWidth="1"/>
    <col min="8196" max="8196" width="15.5546875" style="139" customWidth="1"/>
    <col min="8197" max="8448" width="9.109375" style="139"/>
    <col min="8449" max="8449" width="20.44140625" style="139" customWidth="1"/>
    <col min="8450" max="8450" width="13" style="139" customWidth="1"/>
    <col min="8451" max="8451" width="14.5546875" style="139" customWidth="1"/>
    <col min="8452" max="8452" width="15.5546875" style="139" customWidth="1"/>
    <col min="8453" max="8704" width="9.109375" style="139"/>
    <col min="8705" max="8705" width="20.44140625" style="139" customWidth="1"/>
    <col min="8706" max="8706" width="13" style="139" customWidth="1"/>
    <col min="8707" max="8707" width="14.5546875" style="139" customWidth="1"/>
    <col min="8708" max="8708" width="15.5546875" style="139" customWidth="1"/>
    <col min="8709" max="8960" width="9.109375" style="139"/>
    <col min="8961" max="8961" width="20.44140625" style="139" customWidth="1"/>
    <col min="8962" max="8962" width="13" style="139" customWidth="1"/>
    <col min="8963" max="8963" width="14.5546875" style="139" customWidth="1"/>
    <col min="8964" max="8964" width="15.5546875" style="139" customWidth="1"/>
    <col min="8965" max="9216" width="9.109375" style="139"/>
    <col min="9217" max="9217" width="20.44140625" style="139" customWidth="1"/>
    <col min="9218" max="9218" width="13" style="139" customWidth="1"/>
    <col min="9219" max="9219" width="14.5546875" style="139" customWidth="1"/>
    <col min="9220" max="9220" width="15.5546875" style="139" customWidth="1"/>
    <col min="9221" max="9472" width="9.109375" style="139"/>
    <col min="9473" max="9473" width="20.44140625" style="139" customWidth="1"/>
    <col min="9474" max="9474" width="13" style="139" customWidth="1"/>
    <col min="9475" max="9475" width="14.5546875" style="139" customWidth="1"/>
    <col min="9476" max="9476" width="15.5546875" style="139" customWidth="1"/>
    <col min="9477" max="9728" width="9.109375" style="139"/>
    <col min="9729" max="9729" width="20.44140625" style="139" customWidth="1"/>
    <col min="9730" max="9730" width="13" style="139" customWidth="1"/>
    <col min="9731" max="9731" width="14.5546875" style="139" customWidth="1"/>
    <col min="9732" max="9732" width="15.5546875" style="139" customWidth="1"/>
    <col min="9733" max="9984" width="9.109375" style="139"/>
    <col min="9985" max="9985" width="20.44140625" style="139" customWidth="1"/>
    <col min="9986" max="9986" width="13" style="139" customWidth="1"/>
    <col min="9987" max="9987" width="14.5546875" style="139" customWidth="1"/>
    <col min="9988" max="9988" width="15.5546875" style="139" customWidth="1"/>
    <col min="9989" max="10240" width="9.109375" style="139"/>
    <col min="10241" max="10241" width="20.44140625" style="139" customWidth="1"/>
    <col min="10242" max="10242" width="13" style="139" customWidth="1"/>
    <col min="10243" max="10243" width="14.5546875" style="139" customWidth="1"/>
    <col min="10244" max="10244" width="15.5546875" style="139" customWidth="1"/>
    <col min="10245" max="10496" width="9.109375" style="139"/>
    <col min="10497" max="10497" width="20.44140625" style="139" customWidth="1"/>
    <col min="10498" max="10498" width="13" style="139" customWidth="1"/>
    <col min="10499" max="10499" width="14.5546875" style="139" customWidth="1"/>
    <col min="10500" max="10500" width="15.5546875" style="139" customWidth="1"/>
    <col min="10501" max="10752" width="9.109375" style="139"/>
    <col min="10753" max="10753" width="20.44140625" style="139" customWidth="1"/>
    <col min="10754" max="10754" width="13" style="139" customWidth="1"/>
    <col min="10755" max="10755" width="14.5546875" style="139" customWidth="1"/>
    <col min="10756" max="10756" width="15.5546875" style="139" customWidth="1"/>
    <col min="10757" max="11008" width="9.109375" style="139"/>
    <col min="11009" max="11009" width="20.44140625" style="139" customWidth="1"/>
    <col min="11010" max="11010" width="13" style="139" customWidth="1"/>
    <col min="11011" max="11011" width="14.5546875" style="139" customWidth="1"/>
    <col min="11012" max="11012" width="15.5546875" style="139" customWidth="1"/>
    <col min="11013" max="11264" width="9.109375" style="139"/>
    <col min="11265" max="11265" width="20.44140625" style="139" customWidth="1"/>
    <col min="11266" max="11266" width="13" style="139" customWidth="1"/>
    <col min="11267" max="11267" width="14.5546875" style="139" customWidth="1"/>
    <col min="11268" max="11268" width="15.5546875" style="139" customWidth="1"/>
    <col min="11269" max="11520" width="9.109375" style="139"/>
    <col min="11521" max="11521" width="20.44140625" style="139" customWidth="1"/>
    <col min="11522" max="11522" width="13" style="139" customWidth="1"/>
    <col min="11523" max="11523" width="14.5546875" style="139" customWidth="1"/>
    <col min="11524" max="11524" width="15.5546875" style="139" customWidth="1"/>
    <col min="11525" max="11776" width="9.109375" style="139"/>
    <col min="11777" max="11777" width="20.44140625" style="139" customWidth="1"/>
    <col min="11778" max="11778" width="13" style="139" customWidth="1"/>
    <col min="11779" max="11779" width="14.5546875" style="139" customWidth="1"/>
    <col min="11780" max="11780" width="15.5546875" style="139" customWidth="1"/>
    <col min="11781" max="12032" width="9.109375" style="139"/>
    <col min="12033" max="12033" width="20.44140625" style="139" customWidth="1"/>
    <col min="12034" max="12034" width="13" style="139" customWidth="1"/>
    <col min="12035" max="12035" width="14.5546875" style="139" customWidth="1"/>
    <col min="12036" max="12036" width="15.5546875" style="139" customWidth="1"/>
    <col min="12037" max="12288" width="9.109375" style="139"/>
    <col min="12289" max="12289" width="20.44140625" style="139" customWidth="1"/>
    <col min="12290" max="12290" width="13" style="139" customWidth="1"/>
    <col min="12291" max="12291" width="14.5546875" style="139" customWidth="1"/>
    <col min="12292" max="12292" width="15.5546875" style="139" customWidth="1"/>
    <col min="12293" max="12544" width="9.109375" style="139"/>
    <col min="12545" max="12545" width="20.44140625" style="139" customWidth="1"/>
    <col min="12546" max="12546" width="13" style="139" customWidth="1"/>
    <col min="12547" max="12547" width="14.5546875" style="139" customWidth="1"/>
    <col min="12548" max="12548" width="15.5546875" style="139" customWidth="1"/>
    <col min="12549" max="12800" width="9.109375" style="139"/>
    <col min="12801" max="12801" width="20.44140625" style="139" customWidth="1"/>
    <col min="12802" max="12802" width="13" style="139" customWidth="1"/>
    <col min="12803" max="12803" width="14.5546875" style="139" customWidth="1"/>
    <col min="12804" max="12804" width="15.5546875" style="139" customWidth="1"/>
    <col min="12805" max="13056" width="9.109375" style="139"/>
    <col min="13057" max="13057" width="20.44140625" style="139" customWidth="1"/>
    <col min="13058" max="13058" width="13" style="139" customWidth="1"/>
    <col min="13059" max="13059" width="14.5546875" style="139" customWidth="1"/>
    <col min="13060" max="13060" width="15.5546875" style="139" customWidth="1"/>
    <col min="13061" max="13312" width="9.109375" style="139"/>
    <col min="13313" max="13313" width="20.44140625" style="139" customWidth="1"/>
    <col min="13314" max="13314" width="13" style="139" customWidth="1"/>
    <col min="13315" max="13315" width="14.5546875" style="139" customWidth="1"/>
    <col min="13316" max="13316" width="15.5546875" style="139" customWidth="1"/>
    <col min="13317" max="13568" width="9.109375" style="139"/>
    <col min="13569" max="13569" width="20.44140625" style="139" customWidth="1"/>
    <col min="13570" max="13570" width="13" style="139" customWidth="1"/>
    <col min="13571" max="13571" width="14.5546875" style="139" customWidth="1"/>
    <col min="13572" max="13572" width="15.5546875" style="139" customWidth="1"/>
    <col min="13573" max="13824" width="9.109375" style="139"/>
    <col min="13825" max="13825" width="20.44140625" style="139" customWidth="1"/>
    <col min="13826" max="13826" width="13" style="139" customWidth="1"/>
    <col min="13827" max="13827" width="14.5546875" style="139" customWidth="1"/>
    <col min="13828" max="13828" width="15.5546875" style="139" customWidth="1"/>
    <col min="13829" max="14080" width="9.109375" style="139"/>
    <col min="14081" max="14081" width="20.44140625" style="139" customWidth="1"/>
    <col min="14082" max="14082" width="13" style="139" customWidth="1"/>
    <col min="14083" max="14083" width="14.5546875" style="139" customWidth="1"/>
    <col min="14084" max="14084" width="15.5546875" style="139" customWidth="1"/>
    <col min="14085" max="14336" width="9.109375" style="139"/>
    <col min="14337" max="14337" width="20.44140625" style="139" customWidth="1"/>
    <col min="14338" max="14338" width="13" style="139" customWidth="1"/>
    <col min="14339" max="14339" width="14.5546875" style="139" customWidth="1"/>
    <col min="14340" max="14340" width="15.5546875" style="139" customWidth="1"/>
    <col min="14341" max="14592" width="9.109375" style="139"/>
    <col min="14593" max="14593" width="20.44140625" style="139" customWidth="1"/>
    <col min="14594" max="14594" width="13" style="139" customWidth="1"/>
    <col min="14595" max="14595" width="14.5546875" style="139" customWidth="1"/>
    <col min="14596" max="14596" width="15.5546875" style="139" customWidth="1"/>
    <col min="14597" max="14848" width="9.109375" style="139"/>
    <col min="14849" max="14849" width="20.44140625" style="139" customWidth="1"/>
    <col min="14850" max="14850" width="13" style="139" customWidth="1"/>
    <col min="14851" max="14851" width="14.5546875" style="139" customWidth="1"/>
    <col min="14852" max="14852" width="15.5546875" style="139" customWidth="1"/>
    <col min="14853" max="15104" width="9.109375" style="139"/>
    <col min="15105" max="15105" width="20.44140625" style="139" customWidth="1"/>
    <col min="15106" max="15106" width="13" style="139" customWidth="1"/>
    <col min="15107" max="15107" width="14.5546875" style="139" customWidth="1"/>
    <col min="15108" max="15108" width="15.5546875" style="139" customWidth="1"/>
    <col min="15109" max="15360" width="9.109375" style="139"/>
    <col min="15361" max="15361" width="20.44140625" style="139" customWidth="1"/>
    <col min="15362" max="15362" width="13" style="139" customWidth="1"/>
    <col min="15363" max="15363" width="14.5546875" style="139" customWidth="1"/>
    <col min="15364" max="15364" width="15.5546875" style="139" customWidth="1"/>
    <col min="15365" max="15616" width="9.109375" style="139"/>
    <col min="15617" max="15617" width="20.44140625" style="139" customWidth="1"/>
    <col min="15618" max="15618" width="13" style="139" customWidth="1"/>
    <col min="15619" max="15619" width="14.5546875" style="139" customWidth="1"/>
    <col min="15620" max="15620" width="15.5546875" style="139" customWidth="1"/>
    <col min="15621" max="15872" width="9.109375" style="139"/>
    <col min="15873" max="15873" width="20.44140625" style="139" customWidth="1"/>
    <col min="15874" max="15874" width="13" style="139" customWidth="1"/>
    <col min="15875" max="15875" width="14.5546875" style="139" customWidth="1"/>
    <col min="15876" max="15876" width="15.5546875" style="139" customWidth="1"/>
    <col min="15877" max="16128" width="9.109375" style="139"/>
    <col min="16129" max="16129" width="20.44140625" style="139" customWidth="1"/>
    <col min="16130" max="16130" width="13" style="139" customWidth="1"/>
    <col min="16131" max="16131" width="14.5546875" style="139" customWidth="1"/>
    <col min="16132" max="16132" width="15.5546875" style="139" customWidth="1"/>
    <col min="16133" max="16384" width="9.109375" style="139"/>
  </cols>
  <sheetData>
    <row r="1" spans="1:12" ht="13.8" thickBot="1" x14ac:dyDescent="0.3">
      <c r="A1" s="532" t="s">
        <v>343</v>
      </c>
      <c r="B1" s="532"/>
      <c r="C1" s="532"/>
      <c r="D1" s="532"/>
    </row>
    <row r="2" spans="1:12" s="163" customFormat="1" ht="40.200000000000003" thickBot="1" x14ac:dyDescent="0.35">
      <c r="A2" s="160" t="s">
        <v>52</v>
      </c>
      <c r="B2" s="161" t="s">
        <v>344</v>
      </c>
      <c r="C2" s="161" t="s">
        <v>345</v>
      </c>
      <c r="D2" s="162" t="s">
        <v>346</v>
      </c>
      <c r="G2" s="481" t="s">
        <v>127</v>
      </c>
      <c r="H2" s="481"/>
      <c r="I2" s="426"/>
      <c r="J2" s="426"/>
      <c r="K2" s="426"/>
      <c r="L2" s="426"/>
    </row>
    <row r="3" spans="1:12" ht="13.2" customHeight="1" x14ac:dyDescent="0.25">
      <c r="A3" s="164" t="str">
        <f>Довідник!$A$54</f>
        <v>Молоко питне</v>
      </c>
      <c r="B3" s="165">
        <f>Реалізація!B$4*1000</f>
        <v>15027.52</v>
      </c>
      <c r="C3" s="166">
        <f>Кошторис!B$7</f>
        <v>359969.69314981677</v>
      </c>
      <c r="D3" s="167">
        <f>C3/B3</f>
        <v>23.954031879499528</v>
      </c>
      <c r="G3" s="499" t="s">
        <v>228</v>
      </c>
      <c r="H3" s="499"/>
      <c r="I3" s="499"/>
      <c r="J3" s="499"/>
      <c r="K3" s="499"/>
      <c r="L3" s="499"/>
    </row>
    <row r="4" spans="1:12" ht="13.2" customHeight="1" x14ac:dyDescent="0.25">
      <c r="A4" s="145" t="str">
        <f>Довідник!$A$55</f>
        <v>Сир кисломолочний</v>
      </c>
      <c r="B4" s="168">
        <f>Реалізація!B$7*1000</f>
        <v>5009.1733333333332</v>
      </c>
      <c r="C4" s="169">
        <f>Кошторис!C$7</f>
        <v>801523.59031782544</v>
      </c>
      <c r="D4" s="170">
        <f t="shared" ref="D4:D8" si="0">C4/B4</f>
        <v>160.011150938643</v>
      </c>
      <c r="G4" s="499"/>
      <c r="H4" s="499"/>
      <c r="I4" s="499"/>
      <c r="J4" s="499"/>
      <c r="K4" s="499"/>
      <c r="L4" s="499"/>
    </row>
    <row r="5" spans="1:12" ht="13.2" customHeight="1" x14ac:dyDescent="0.25">
      <c r="A5" s="145" t="str">
        <f>Довідник!$A$56</f>
        <v>Кефір</v>
      </c>
      <c r="B5" s="168">
        <f>Реалізація!B$10*1000</f>
        <v>43769.475728155339</v>
      </c>
      <c r="C5" s="169">
        <f>Кошторис!D$7</f>
        <v>1221783.3569758823</v>
      </c>
      <c r="D5" s="170">
        <f t="shared" si="0"/>
        <v>27.914050526082786</v>
      </c>
      <c r="G5" s="427"/>
      <c r="H5" s="427"/>
      <c r="I5" s="427"/>
      <c r="J5" s="427"/>
      <c r="K5" s="427"/>
      <c r="L5" s="427"/>
    </row>
    <row r="6" spans="1:12" ht="13.2" customHeight="1" x14ac:dyDescent="0.25">
      <c r="A6" s="145" t="str">
        <f>Довідник!$A$57</f>
        <v>Сметана</v>
      </c>
      <c r="B6" s="168">
        <f>Реалізація!B$13*1000</f>
        <v>2146.7885714285717</v>
      </c>
      <c r="C6" s="169">
        <f>Кошторис!E$7</f>
        <v>282180.69054638449</v>
      </c>
      <c r="D6" s="170">
        <f t="shared" si="0"/>
        <v>131.44316785635229</v>
      </c>
      <c r="G6" s="514" t="s">
        <v>409</v>
      </c>
      <c r="H6" s="514"/>
      <c r="I6" s="514"/>
      <c r="J6" s="514"/>
      <c r="K6" s="514"/>
      <c r="L6" s="514"/>
    </row>
    <row r="7" spans="1:12" x14ac:dyDescent="0.25">
      <c r="A7" s="145" t="str">
        <f>Довідник!$A$58</f>
        <v>Сир м'який</v>
      </c>
      <c r="B7" s="168">
        <f>Реалізація!B$16*1000</f>
        <v>7513.76</v>
      </c>
      <c r="C7" s="169">
        <f>Кошторис!F$7</f>
        <v>1193827.8590860558</v>
      </c>
      <c r="D7" s="170">
        <f t="shared" si="0"/>
        <v>158.88554586333018</v>
      </c>
      <c r="G7" s="514"/>
      <c r="H7" s="514"/>
      <c r="I7" s="514"/>
      <c r="J7" s="514"/>
      <c r="K7" s="514"/>
      <c r="L7" s="514"/>
    </row>
    <row r="8" spans="1:12" ht="13.8" thickBot="1" x14ac:dyDescent="0.3">
      <c r="A8" s="171" t="str">
        <f>Довідник!$A$61</f>
        <v>Сир Рікотта</v>
      </c>
      <c r="B8" s="172">
        <f>Реалізація!B$19*1000</f>
        <v>2304.2544710124826</v>
      </c>
      <c r="C8" s="173">
        <f>Кошторис!G$7</f>
        <v>307530.2542794387</v>
      </c>
      <c r="D8" s="174">
        <f t="shared" si="0"/>
        <v>133.46193232916278</v>
      </c>
      <c r="G8" s="514"/>
      <c r="H8" s="514"/>
      <c r="I8" s="514"/>
      <c r="J8" s="514"/>
      <c r="K8" s="514"/>
      <c r="L8" s="514"/>
    </row>
    <row r="9" spans="1:12" x14ac:dyDescent="0.25">
      <c r="A9" s="175"/>
      <c r="B9" s="176"/>
      <c r="C9" s="177"/>
      <c r="D9" s="178"/>
      <c r="G9" s="514"/>
      <c r="H9" s="514"/>
      <c r="I9" s="514"/>
      <c r="J9" s="514"/>
      <c r="K9" s="514"/>
      <c r="L9" s="514"/>
    </row>
    <row r="10" spans="1:12" x14ac:dyDescent="0.25">
      <c r="A10" s="179"/>
      <c r="B10" s="180"/>
      <c r="C10" s="181"/>
      <c r="D10" s="182"/>
      <c r="G10" s="514"/>
      <c r="H10" s="514"/>
      <c r="I10" s="514"/>
      <c r="J10" s="514"/>
      <c r="K10" s="514"/>
      <c r="L10" s="514"/>
    </row>
    <row r="11" spans="1:12" ht="13.8" thickBot="1" x14ac:dyDescent="0.3">
      <c r="A11" s="532" t="s">
        <v>343</v>
      </c>
      <c r="B11" s="532"/>
      <c r="C11" s="532"/>
      <c r="D11" s="532"/>
      <c r="G11" s="514"/>
      <c r="H11" s="514"/>
      <c r="I11" s="514"/>
      <c r="J11" s="514"/>
      <c r="K11" s="514"/>
      <c r="L11" s="514"/>
    </row>
    <row r="12" spans="1:12" s="163" customFormat="1" ht="40.200000000000003" thickBot="1" x14ac:dyDescent="0.35">
      <c r="A12" s="160" t="s">
        <v>52</v>
      </c>
      <c r="B12" s="161" t="s">
        <v>344</v>
      </c>
      <c r="C12" s="161" t="s">
        <v>345</v>
      </c>
      <c r="D12" s="162" t="s">
        <v>346</v>
      </c>
      <c r="G12" s="514"/>
      <c r="H12" s="514"/>
      <c r="I12" s="514"/>
      <c r="J12" s="514"/>
      <c r="K12" s="514"/>
      <c r="L12" s="514"/>
    </row>
    <row r="13" spans="1:12" x14ac:dyDescent="0.25">
      <c r="A13" s="164" t="str">
        <f>Довідник!$A$54</f>
        <v>Молоко питне</v>
      </c>
      <c r="B13" s="165">
        <f>Реалізація!C$4*1000</f>
        <v>33443.040000000001</v>
      </c>
      <c r="C13" s="166">
        <f>Кошторис!B$16</f>
        <v>630714.87948576279</v>
      </c>
      <c r="D13" s="183">
        <f>C13/B13</f>
        <v>18.859376404948915</v>
      </c>
      <c r="G13" s="452"/>
      <c r="H13" s="452"/>
      <c r="I13" s="452"/>
      <c r="J13" s="452"/>
      <c r="K13" s="452"/>
      <c r="L13" s="452"/>
    </row>
    <row r="14" spans="1:12" x14ac:dyDescent="0.25">
      <c r="A14" s="145" t="str">
        <f>Довідник!$A$55</f>
        <v>Сир кисломолочний</v>
      </c>
      <c r="B14" s="168">
        <f>Реалізація!C$7*1000</f>
        <v>11147.679999999998</v>
      </c>
      <c r="C14" s="169">
        <f>Кошторис!C$16</f>
        <v>1440156.0423799392</v>
      </c>
      <c r="D14" s="184">
        <f t="shared" ref="D14:D18" si="1">C14/B14</f>
        <v>129.1888574465664</v>
      </c>
      <c r="G14" s="452"/>
      <c r="H14" s="452"/>
      <c r="I14" s="452"/>
      <c r="J14" s="452"/>
      <c r="K14" s="452"/>
      <c r="L14" s="452"/>
    </row>
    <row r="15" spans="1:12" x14ac:dyDescent="0.25">
      <c r="A15" s="145" t="str">
        <f>Довідник!$A$56</f>
        <v>Кефір</v>
      </c>
      <c r="B15" s="168">
        <f>Реалізація!C$10*1000</f>
        <v>97406.91262135921</v>
      </c>
      <c r="C15" s="169">
        <f>Кошторис!D$16</f>
        <v>2126612.308910456</v>
      </c>
      <c r="D15" s="184">
        <f t="shared" si="1"/>
        <v>21.832252472440405</v>
      </c>
      <c r="G15" s="452"/>
      <c r="H15" s="452"/>
      <c r="I15" s="452"/>
      <c r="J15" s="452"/>
      <c r="K15" s="452"/>
      <c r="L15" s="452"/>
    </row>
    <row r="16" spans="1:12" x14ac:dyDescent="0.25">
      <c r="A16" s="145" t="str">
        <f>Довідник!$A$57</f>
        <v>Сметана</v>
      </c>
      <c r="B16" s="168">
        <f>Реалізація!C$13*1000</f>
        <v>4777.5771428571434</v>
      </c>
      <c r="C16" s="169">
        <f>Кошторис!E$16</f>
        <v>546310.72249683016</v>
      </c>
      <c r="D16" s="184">
        <f t="shared" si="1"/>
        <v>114.34890660292278</v>
      </c>
      <c r="G16" s="452"/>
      <c r="H16" s="452"/>
      <c r="I16" s="452"/>
      <c r="J16" s="452"/>
      <c r="K16" s="452"/>
      <c r="L16" s="452"/>
    </row>
    <row r="17" spans="1:4" x14ac:dyDescent="0.25">
      <c r="A17" s="145" t="str">
        <f>Довідник!$A$58</f>
        <v>Сир м'який</v>
      </c>
      <c r="B17" s="168">
        <f>Реалізація!C$16*1000</f>
        <v>16721.52</v>
      </c>
      <c r="C17" s="169">
        <f>Кошторис!F$16</f>
        <v>2077612.7866592095</v>
      </c>
      <c r="D17" s="184">
        <f t="shared" si="1"/>
        <v>124.24784269965944</v>
      </c>
    </row>
    <row r="18" spans="1:4" ht="13.8" thickBot="1" x14ac:dyDescent="0.3">
      <c r="A18" s="171" t="str">
        <f>Довідник!$A$61</f>
        <v>Сир Рікотта</v>
      </c>
      <c r="B18" s="172">
        <f>Реалізація!C$19*1000</f>
        <v>5128.01010707351</v>
      </c>
      <c r="C18" s="173">
        <f>Кошторис!G$16</f>
        <v>423521.34644603089</v>
      </c>
      <c r="D18" s="185">
        <f t="shared" si="1"/>
        <v>82.589803374574302</v>
      </c>
    </row>
    <row r="19" spans="1:4" x14ac:dyDescent="0.25">
      <c r="A19" s="175"/>
      <c r="B19" s="176"/>
      <c r="C19" s="177"/>
      <c r="D19" s="186"/>
    </row>
    <row r="20" spans="1:4" x14ac:dyDescent="0.25">
      <c r="A20" s="179"/>
      <c r="B20" s="180"/>
      <c r="C20" s="181"/>
      <c r="D20" s="182"/>
    </row>
    <row r="21" spans="1:4" ht="13.8" thickBot="1" x14ac:dyDescent="0.3">
      <c r="A21" s="532" t="s">
        <v>343</v>
      </c>
      <c r="B21" s="532"/>
      <c r="C21" s="532"/>
      <c r="D21" s="532"/>
    </row>
    <row r="22" spans="1:4" s="163" customFormat="1" ht="40.200000000000003" thickBot="1" x14ac:dyDescent="0.35">
      <c r="A22" s="160" t="s">
        <v>52</v>
      </c>
      <c r="B22" s="161" t="s">
        <v>344</v>
      </c>
      <c r="C22" s="161" t="s">
        <v>345</v>
      </c>
      <c r="D22" s="162" t="s">
        <v>346</v>
      </c>
    </row>
    <row r="23" spans="1:4" x14ac:dyDescent="0.25">
      <c r="A23" s="164" t="str">
        <f>Довідник!$A$54</f>
        <v>Молоко питне</v>
      </c>
      <c r="B23" s="165">
        <f>Реалізація!D$4*1000</f>
        <v>48073.520000000004</v>
      </c>
      <c r="C23" s="166">
        <f>Кошторис!B$25</f>
        <v>884431.53182706051</v>
      </c>
      <c r="D23" s="183">
        <f>C23/B23</f>
        <v>18.397478109093331</v>
      </c>
    </row>
    <row r="24" spans="1:4" x14ac:dyDescent="0.25">
      <c r="A24" s="145" t="str">
        <f>Довідник!$A$55</f>
        <v>Сир кисломолочний</v>
      </c>
      <c r="B24" s="168">
        <f>Реалізація!D$7*1000</f>
        <v>16024.506666666668</v>
      </c>
      <c r="C24" s="169">
        <f>Кошторис!C$25</f>
        <v>2024794.7849817192</v>
      </c>
      <c r="D24" s="184">
        <f t="shared" ref="D24:D28" si="2">C24/B24</f>
        <v>126.35613857577222</v>
      </c>
    </row>
    <row r="25" spans="1:4" x14ac:dyDescent="0.25">
      <c r="A25" s="145" t="str">
        <f>Довідник!$A$56</f>
        <v>Кефір</v>
      </c>
      <c r="B25" s="168">
        <f>Реалізація!D$10*1000</f>
        <v>140019.96116504856</v>
      </c>
      <c r="C25" s="169">
        <f>Кошторис!D$25</f>
        <v>2962169.5763412742</v>
      </c>
      <c r="D25" s="184">
        <f t="shared" si="2"/>
        <v>21.155337793942223</v>
      </c>
    </row>
    <row r="26" spans="1:4" x14ac:dyDescent="0.25">
      <c r="A26" s="145" t="str">
        <f>Довідник!$A$57</f>
        <v>Сметана</v>
      </c>
      <c r="B26" s="168">
        <f>Реалізація!D$13*1000</f>
        <v>6867.6457142857143</v>
      </c>
      <c r="C26" s="169">
        <f>Кошторис!E$25</f>
        <v>793849.31597220676</v>
      </c>
      <c r="D26" s="184">
        <f t="shared" si="2"/>
        <v>115.5926425151611</v>
      </c>
    </row>
    <row r="27" spans="1:4" x14ac:dyDescent="0.25">
      <c r="A27" s="145" t="str">
        <f>Довідник!$A$58</f>
        <v>Сир м'який</v>
      </c>
      <c r="B27" s="168">
        <f>Реалізація!D$16*1000</f>
        <v>24036.760000000002</v>
      </c>
      <c r="C27" s="169">
        <f>Кошторис!F$25</f>
        <v>2896313.9005435351</v>
      </c>
      <c r="D27" s="184">
        <f t="shared" si="2"/>
        <v>120.49518739395555</v>
      </c>
    </row>
    <row r="28" spans="1:4" ht="13.8" thickBot="1" x14ac:dyDescent="0.3">
      <c r="A28" s="171" t="str">
        <f>Довідник!$A$61</f>
        <v>Сир Рікотта</v>
      </c>
      <c r="B28" s="172">
        <f>Реалізація!D$19*1000</f>
        <v>7371.3841936199733</v>
      </c>
      <c r="C28" s="173">
        <f>Кошторис!G$25</f>
        <v>518385.10587713495</v>
      </c>
      <c r="D28" s="185">
        <f t="shared" si="2"/>
        <v>70.323984242444425</v>
      </c>
    </row>
  </sheetData>
  <sheetProtection algorithmName="SHA-512" hashValue="MuqaV4YTpB/OzNme1izxGBQT9zZxeEIlllLFBHojm9UvWVKCuNBQlvaAtdVXUyly8UlDXM5y3otQgvwALPYBfA==" saltValue="A0liYYXLPLcCn/gWtTlKCg==" spinCount="100000" sheet="1" objects="1" scenarios="1"/>
  <mergeCells count="6">
    <mergeCell ref="A1:D1"/>
    <mergeCell ref="A11:D11"/>
    <mergeCell ref="A21:D21"/>
    <mergeCell ref="G2:H2"/>
    <mergeCell ref="G3:L4"/>
    <mergeCell ref="G6:L12"/>
  </mergeCells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F0"/>
  </sheetPr>
  <dimension ref="A1:M28"/>
  <sheetViews>
    <sheetView workbookViewId="0">
      <selection activeCell="P15" sqref="P15"/>
    </sheetView>
  </sheetViews>
  <sheetFormatPr defaultRowHeight="13.2" x14ac:dyDescent="0.25"/>
  <cols>
    <col min="1" max="1" width="18.6640625" style="9" customWidth="1"/>
    <col min="2" max="2" width="12.88671875" style="9" customWidth="1"/>
    <col min="3" max="3" width="14.88671875" style="9" customWidth="1"/>
    <col min="4" max="4" width="15.109375" style="9" customWidth="1"/>
    <col min="5" max="5" width="11" style="9" customWidth="1"/>
    <col min="6" max="256" width="9.109375" style="9"/>
    <col min="257" max="257" width="18.6640625" style="9" customWidth="1"/>
    <col min="258" max="258" width="12.88671875" style="9" customWidth="1"/>
    <col min="259" max="259" width="11" style="9" customWidth="1"/>
    <col min="260" max="260" width="14.88671875" style="9" customWidth="1"/>
    <col min="261" max="261" width="15.109375" style="9" customWidth="1"/>
    <col min="262" max="512" width="9.109375" style="9"/>
    <col min="513" max="513" width="18.6640625" style="9" customWidth="1"/>
    <col min="514" max="514" width="12.88671875" style="9" customWidth="1"/>
    <col min="515" max="515" width="11" style="9" customWidth="1"/>
    <col min="516" max="516" width="14.88671875" style="9" customWidth="1"/>
    <col min="517" max="517" width="15.109375" style="9" customWidth="1"/>
    <col min="518" max="768" width="9.109375" style="9"/>
    <col min="769" max="769" width="18.6640625" style="9" customWidth="1"/>
    <col min="770" max="770" width="12.88671875" style="9" customWidth="1"/>
    <col min="771" max="771" width="11" style="9" customWidth="1"/>
    <col min="772" max="772" width="14.88671875" style="9" customWidth="1"/>
    <col min="773" max="773" width="15.109375" style="9" customWidth="1"/>
    <col min="774" max="1024" width="9.109375" style="9"/>
    <col min="1025" max="1025" width="18.6640625" style="9" customWidth="1"/>
    <col min="1026" max="1026" width="12.88671875" style="9" customWidth="1"/>
    <col min="1027" max="1027" width="11" style="9" customWidth="1"/>
    <col min="1028" max="1028" width="14.88671875" style="9" customWidth="1"/>
    <col min="1029" max="1029" width="15.109375" style="9" customWidth="1"/>
    <col min="1030" max="1280" width="9.109375" style="9"/>
    <col min="1281" max="1281" width="18.6640625" style="9" customWidth="1"/>
    <col min="1282" max="1282" width="12.88671875" style="9" customWidth="1"/>
    <col min="1283" max="1283" width="11" style="9" customWidth="1"/>
    <col min="1284" max="1284" width="14.88671875" style="9" customWidth="1"/>
    <col min="1285" max="1285" width="15.109375" style="9" customWidth="1"/>
    <col min="1286" max="1536" width="9.109375" style="9"/>
    <col min="1537" max="1537" width="18.6640625" style="9" customWidth="1"/>
    <col min="1538" max="1538" width="12.88671875" style="9" customWidth="1"/>
    <col min="1539" max="1539" width="11" style="9" customWidth="1"/>
    <col min="1540" max="1540" width="14.88671875" style="9" customWidth="1"/>
    <col min="1541" max="1541" width="15.109375" style="9" customWidth="1"/>
    <col min="1542" max="1792" width="9.109375" style="9"/>
    <col min="1793" max="1793" width="18.6640625" style="9" customWidth="1"/>
    <col min="1794" max="1794" width="12.88671875" style="9" customWidth="1"/>
    <col min="1795" max="1795" width="11" style="9" customWidth="1"/>
    <col min="1796" max="1796" width="14.88671875" style="9" customWidth="1"/>
    <col min="1797" max="1797" width="15.109375" style="9" customWidth="1"/>
    <col min="1798" max="2048" width="9.109375" style="9"/>
    <col min="2049" max="2049" width="18.6640625" style="9" customWidth="1"/>
    <col min="2050" max="2050" width="12.88671875" style="9" customWidth="1"/>
    <col min="2051" max="2051" width="11" style="9" customWidth="1"/>
    <col min="2052" max="2052" width="14.88671875" style="9" customWidth="1"/>
    <col min="2053" max="2053" width="15.109375" style="9" customWidth="1"/>
    <col min="2054" max="2304" width="9.109375" style="9"/>
    <col min="2305" max="2305" width="18.6640625" style="9" customWidth="1"/>
    <col min="2306" max="2306" width="12.88671875" style="9" customWidth="1"/>
    <col min="2307" max="2307" width="11" style="9" customWidth="1"/>
    <col min="2308" max="2308" width="14.88671875" style="9" customWidth="1"/>
    <col min="2309" max="2309" width="15.109375" style="9" customWidth="1"/>
    <col min="2310" max="2560" width="9.109375" style="9"/>
    <col min="2561" max="2561" width="18.6640625" style="9" customWidth="1"/>
    <col min="2562" max="2562" width="12.88671875" style="9" customWidth="1"/>
    <col min="2563" max="2563" width="11" style="9" customWidth="1"/>
    <col min="2564" max="2564" width="14.88671875" style="9" customWidth="1"/>
    <col min="2565" max="2565" width="15.109375" style="9" customWidth="1"/>
    <col min="2566" max="2816" width="9.109375" style="9"/>
    <col min="2817" max="2817" width="18.6640625" style="9" customWidth="1"/>
    <col min="2818" max="2818" width="12.88671875" style="9" customWidth="1"/>
    <col min="2819" max="2819" width="11" style="9" customWidth="1"/>
    <col min="2820" max="2820" width="14.88671875" style="9" customWidth="1"/>
    <col min="2821" max="2821" width="15.109375" style="9" customWidth="1"/>
    <col min="2822" max="3072" width="9.109375" style="9"/>
    <col min="3073" max="3073" width="18.6640625" style="9" customWidth="1"/>
    <col min="3074" max="3074" width="12.88671875" style="9" customWidth="1"/>
    <col min="3075" max="3075" width="11" style="9" customWidth="1"/>
    <col min="3076" max="3076" width="14.88671875" style="9" customWidth="1"/>
    <col min="3077" max="3077" width="15.109375" style="9" customWidth="1"/>
    <col min="3078" max="3328" width="9.109375" style="9"/>
    <col min="3329" max="3329" width="18.6640625" style="9" customWidth="1"/>
    <col min="3330" max="3330" width="12.88671875" style="9" customWidth="1"/>
    <col min="3331" max="3331" width="11" style="9" customWidth="1"/>
    <col min="3332" max="3332" width="14.88671875" style="9" customWidth="1"/>
    <col min="3333" max="3333" width="15.109375" style="9" customWidth="1"/>
    <col min="3334" max="3584" width="9.109375" style="9"/>
    <col min="3585" max="3585" width="18.6640625" style="9" customWidth="1"/>
    <col min="3586" max="3586" width="12.88671875" style="9" customWidth="1"/>
    <col min="3587" max="3587" width="11" style="9" customWidth="1"/>
    <col min="3588" max="3588" width="14.88671875" style="9" customWidth="1"/>
    <col min="3589" max="3589" width="15.109375" style="9" customWidth="1"/>
    <col min="3590" max="3840" width="9.109375" style="9"/>
    <col min="3841" max="3841" width="18.6640625" style="9" customWidth="1"/>
    <col min="3842" max="3842" width="12.88671875" style="9" customWidth="1"/>
    <col min="3843" max="3843" width="11" style="9" customWidth="1"/>
    <col min="3844" max="3844" width="14.88671875" style="9" customWidth="1"/>
    <col min="3845" max="3845" width="15.109375" style="9" customWidth="1"/>
    <col min="3846" max="4096" width="9.109375" style="9"/>
    <col min="4097" max="4097" width="18.6640625" style="9" customWidth="1"/>
    <col min="4098" max="4098" width="12.88671875" style="9" customWidth="1"/>
    <col min="4099" max="4099" width="11" style="9" customWidth="1"/>
    <col min="4100" max="4100" width="14.88671875" style="9" customWidth="1"/>
    <col min="4101" max="4101" width="15.109375" style="9" customWidth="1"/>
    <col min="4102" max="4352" width="9.109375" style="9"/>
    <col min="4353" max="4353" width="18.6640625" style="9" customWidth="1"/>
    <col min="4354" max="4354" width="12.88671875" style="9" customWidth="1"/>
    <col min="4355" max="4355" width="11" style="9" customWidth="1"/>
    <col min="4356" max="4356" width="14.88671875" style="9" customWidth="1"/>
    <col min="4357" max="4357" width="15.109375" style="9" customWidth="1"/>
    <col min="4358" max="4608" width="9.109375" style="9"/>
    <col min="4609" max="4609" width="18.6640625" style="9" customWidth="1"/>
    <col min="4610" max="4610" width="12.88671875" style="9" customWidth="1"/>
    <col min="4611" max="4611" width="11" style="9" customWidth="1"/>
    <col min="4612" max="4612" width="14.88671875" style="9" customWidth="1"/>
    <col min="4613" max="4613" width="15.109375" style="9" customWidth="1"/>
    <col min="4614" max="4864" width="9.109375" style="9"/>
    <col min="4865" max="4865" width="18.6640625" style="9" customWidth="1"/>
    <col min="4866" max="4866" width="12.88671875" style="9" customWidth="1"/>
    <col min="4867" max="4867" width="11" style="9" customWidth="1"/>
    <col min="4868" max="4868" width="14.88671875" style="9" customWidth="1"/>
    <col min="4869" max="4869" width="15.109375" style="9" customWidth="1"/>
    <col min="4870" max="5120" width="9.109375" style="9"/>
    <col min="5121" max="5121" width="18.6640625" style="9" customWidth="1"/>
    <col min="5122" max="5122" width="12.88671875" style="9" customWidth="1"/>
    <col min="5123" max="5123" width="11" style="9" customWidth="1"/>
    <col min="5124" max="5124" width="14.88671875" style="9" customWidth="1"/>
    <col min="5125" max="5125" width="15.109375" style="9" customWidth="1"/>
    <col min="5126" max="5376" width="9.109375" style="9"/>
    <col min="5377" max="5377" width="18.6640625" style="9" customWidth="1"/>
    <col min="5378" max="5378" width="12.88671875" style="9" customWidth="1"/>
    <col min="5379" max="5379" width="11" style="9" customWidth="1"/>
    <col min="5380" max="5380" width="14.88671875" style="9" customWidth="1"/>
    <col min="5381" max="5381" width="15.109375" style="9" customWidth="1"/>
    <col min="5382" max="5632" width="9.109375" style="9"/>
    <col min="5633" max="5633" width="18.6640625" style="9" customWidth="1"/>
    <col min="5634" max="5634" width="12.88671875" style="9" customWidth="1"/>
    <col min="5635" max="5635" width="11" style="9" customWidth="1"/>
    <col min="5636" max="5636" width="14.88671875" style="9" customWidth="1"/>
    <col min="5637" max="5637" width="15.109375" style="9" customWidth="1"/>
    <col min="5638" max="5888" width="9.109375" style="9"/>
    <col min="5889" max="5889" width="18.6640625" style="9" customWidth="1"/>
    <col min="5890" max="5890" width="12.88671875" style="9" customWidth="1"/>
    <col min="5891" max="5891" width="11" style="9" customWidth="1"/>
    <col min="5892" max="5892" width="14.88671875" style="9" customWidth="1"/>
    <col min="5893" max="5893" width="15.109375" style="9" customWidth="1"/>
    <col min="5894" max="6144" width="9.109375" style="9"/>
    <col min="6145" max="6145" width="18.6640625" style="9" customWidth="1"/>
    <col min="6146" max="6146" width="12.88671875" style="9" customWidth="1"/>
    <col min="6147" max="6147" width="11" style="9" customWidth="1"/>
    <col min="6148" max="6148" width="14.88671875" style="9" customWidth="1"/>
    <col min="6149" max="6149" width="15.109375" style="9" customWidth="1"/>
    <col min="6150" max="6400" width="9.109375" style="9"/>
    <col min="6401" max="6401" width="18.6640625" style="9" customWidth="1"/>
    <col min="6402" max="6402" width="12.88671875" style="9" customWidth="1"/>
    <col min="6403" max="6403" width="11" style="9" customWidth="1"/>
    <col min="6404" max="6404" width="14.88671875" style="9" customWidth="1"/>
    <col min="6405" max="6405" width="15.109375" style="9" customWidth="1"/>
    <col min="6406" max="6656" width="9.109375" style="9"/>
    <col min="6657" max="6657" width="18.6640625" style="9" customWidth="1"/>
    <col min="6658" max="6658" width="12.88671875" style="9" customWidth="1"/>
    <col min="6659" max="6659" width="11" style="9" customWidth="1"/>
    <col min="6660" max="6660" width="14.88671875" style="9" customWidth="1"/>
    <col min="6661" max="6661" width="15.109375" style="9" customWidth="1"/>
    <col min="6662" max="6912" width="9.109375" style="9"/>
    <col min="6913" max="6913" width="18.6640625" style="9" customWidth="1"/>
    <col min="6914" max="6914" width="12.88671875" style="9" customWidth="1"/>
    <col min="6915" max="6915" width="11" style="9" customWidth="1"/>
    <col min="6916" max="6916" width="14.88671875" style="9" customWidth="1"/>
    <col min="6917" max="6917" width="15.109375" style="9" customWidth="1"/>
    <col min="6918" max="7168" width="9.109375" style="9"/>
    <col min="7169" max="7169" width="18.6640625" style="9" customWidth="1"/>
    <col min="7170" max="7170" width="12.88671875" style="9" customWidth="1"/>
    <col min="7171" max="7171" width="11" style="9" customWidth="1"/>
    <col min="7172" max="7172" width="14.88671875" style="9" customWidth="1"/>
    <col min="7173" max="7173" width="15.109375" style="9" customWidth="1"/>
    <col min="7174" max="7424" width="9.109375" style="9"/>
    <col min="7425" max="7425" width="18.6640625" style="9" customWidth="1"/>
    <col min="7426" max="7426" width="12.88671875" style="9" customWidth="1"/>
    <col min="7427" max="7427" width="11" style="9" customWidth="1"/>
    <col min="7428" max="7428" width="14.88671875" style="9" customWidth="1"/>
    <col min="7429" max="7429" width="15.109375" style="9" customWidth="1"/>
    <col min="7430" max="7680" width="9.109375" style="9"/>
    <col min="7681" max="7681" width="18.6640625" style="9" customWidth="1"/>
    <col min="7682" max="7682" width="12.88671875" style="9" customWidth="1"/>
    <col min="7683" max="7683" width="11" style="9" customWidth="1"/>
    <col min="7684" max="7684" width="14.88671875" style="9" customWidth="1"/>
    <col min="7685" max="7685" width="15.109375" style="9" customWidth="1"/>
    <col min="7686" max="7936" width="9.109375" style="9"/>
    <col min="7937" max="7937" width="18.6640625" style="9" customWidth="1"/>
    <col min="7938" max="7938" width="12.88671875" style="9" customWidth="1"/>
    <col min="7939" max="7939" width="11" style="9" customWidth="1"/>
    <col min="7940" max="7940" width="14.88671875" style="9" customWidth="1"/>
    <col min="7941" max="7941" width="15.109375" style="9" customWidth="1"/>
    <col min="7942" max="8192" width="9.109375" style="9"/>
    <col min="8193" max="8193" width="18.6640625" style="9" customWidth="1"/>
    <col min="8194" max="8194" width="12.88671875" style="9" customWidth="1"/>
    <col min="8195" max="8195" width="11" style="9" customWidth="1"/>
    <col min="8196" max="8196" width="14.88671875" style="9" customWidth="1"/>
    <col min="8197" max="8197" width="15.109375" style="9" customWidth="1"/>
    <col min="8198" max="8448" width="9.109375" style="9"/>
    <col min="8449" max="8449" width="18.6640625" style="9" customWidth="1"/>
    <col min="8450" max="8450" width="12.88671875" style="9" customWidth="1"/>
    <col min="8451" max="8451" width="11" style="9" customWidth="1"/>
    <col min="8452" max="8452" width="14.88671875" style="9" customWidth="1"/>
    <col min="8453" max="8453" width="15.109375" style="9" customWidth="1"/>
    <col min="8454" max="8704" width="9.109375" style="9"/>
    <col min="8705" max="8705" width="18.6640625" style="9" customWidth="1"/>
    <col min="8706" max="8706" width="12.88671875" style="9" customWidth="1"/>
    <col min="8707" max="8707" width="11" style="9" customWidth="1"/>
    <col min="8708" max="8708" width="14.88671875" style="9" customWidth="1"/>
    <col min="8709" max="8709" width="15.109375" style="9" customWidth="1"/>
    <col min="8710" max="8960" width="9.109375" style="9"/>
    <col min="8961" max="8961" width="18.6640625" style="9" customWidth="1"/>
    <col min="8962" max="8962" width="12.88671875" style="9" customWidth="1"/>
    <col min="8963" max="8963" width="11" style="9" customWidth="1"/>
    <col min="8964" max="8964" width="14.88671875" style="9" customWidth="1"/>
    <col min="8965" max="8965" width="15.109375" style="9" customWidth="1"/>
    <col min="8966" max="9216" width="9.109375" style="9"/>
    <col min="9217" max="9217" width="18.6640625" style="9" customWidth="1"/>
    <col min="9218" max="9218" width="12.88671875" style="9" customWidth="1"/>
    <col min="9219" max="9219" width="11" style="9" customWidth="1"/>
    <col min="9220" max="9220" width="14.88671875" style="9" customWidth="1"/>
    <col min="9221" max="9221" width="15.109375" style="9" customWidth="1"/>
    <col min="9222" max="9472" width="9.109375" style="9"/>
    <col min="9473" max="9473" width="18.6640625" style="9" customWidth="1"/>
    <col min="9474" max="9474" width="12.88671875" style="9" customWidth="1"/>
    <col min="9475" max="9475" width="11" style="9" customWidth="1"/>
    <col min="9476" max="9476" width="14.88671875" style="9" customWidth="1"/>
    <col min="9477" max="9477" width="15.109375" style="9" customWidth="1"/>
    <col min="9478" max="9728" width="9.109375" style="9"/>
    <col min="9729" max="9729" width="18.6640625" style="9" customWidth="1"/>
    <col min="9730" max="9730" width="12.88671875" style="9" customWidth="1"/>
    <col min="9731" max="9731" width="11" style="9" customWidth="1"/>
    <col min="9732" max="9732" width="14.88671875" style="9" customWidth="1"/>
    <col min="9733" max="9733" width="15.109375" style="9" customWidth="1"/>
    <col min="9734" max="9984" width="9.109375" style="9"/>
    <col min="9985" max="9985" width="18.6640625" style="9" customWidth="1"/>
    <col min="9986" max="9986" width="12.88671875" style="9" customWidth="1"/>
    <col min="9987" max="9987" width="11" style="9" customWidth="1"/>
    <col min="9988" max="9988" width="14.88671875" style="9" customWidth="1"/>
    <col min="9989" max="9989" width="15.109375" style="9" customWidth="1"/>
    <col min="9990" max="10240" width="9.109375" style="9"/>
    <col min="10241" max="10241" width="18.6640625" style="9" customWidth="1"/>
    <col min="10242" max="10242" width="12.88671875" style="9" customWidth="1"/>
    <col min="10243" max="10243" width="11" style="9" customWidth="1"/>
    <col min="10244" max="10244" width="14.88671875" style="9" customWidth="1"/>
    <col min="10245" max="10245" width="15.109375" style="9" customWidth="1"/>
    <col min="10246" max="10496" width="9.109375" style="9"/>
    <col min="10497" max="10497" width="18.6640625" style="9" customWidth="1"/>
    <col min="10498" max="10498" width="12.88671875" style="9" customWidth="1"/>
    <col min="10499" max="10499" width="11" style="9" customWidth="1"/>
    <col min="10500" max="10500" width="14.88671875" style="9" customWidth="1"/>
    <col min="10501" max="10501" width="15.109375" style="9" customWidth="1"/>
    <col min="10502" max="10752" width="9.109375" style="9"/>
    <col min="10753" max="10753" width="18.6640625" style="9" customWidth="1"/>
    <col min="10754" max="10754" width="12.88671875" style="9" customWidth="1"/>
    <col min="10755" max="10755" width="11" style="9" customWidth="1"/>
    <col min="10756" max="10756" width="14.88671875" style="9" customWidth="1"/>
    <col min="10757" max="10757" width="15.109375" style="9" customWidth="1"/>
    <col min="10758" max="11008" width="9.109375" style="9"/>
    <col min="11009" max="11009" width="18.6640625" style="9" customWidth="1"/>
    <col min="11010" max="11010" width="12.88671875" style="9" customWidth="1"/>
    <col min="11011" max="11011" width="11" style="9" customWidth="1"/>
    <col min="11012" max="11012" width="14.88671875" style="9" customWidth="1"/>
    <col min="11013" max="11013" width="15.109375" style="9" customWidth="1"/>
    <col min="11014" max="11264" width="9.109375" style="9"/>
    <col min="11265" max="11265" width="18.6640625" style="9" customWidth="1"/>
    <col min="11266" max="11266" width="12.88671875" style="9" customWidth="1"/>
    <col min="11267" max="11267" width="11" style="9" customWidth="1"/>
    <col min="11268" max="11268" width="14.88671875" style="9" customWidth="1"/>
    <col min="11269" max="11269" width="15.109375" style="9" customWidth="1"/>
    <col min="11270" max="11520" width="9.109375" style="9"/>
    <col min="11521" max="11521" width="18.6640625" style="9" customWidth="1"/>
    <col min="11522" max="11522" width="12.88671875" style="9" customWidth="1"/>
    <col min="11523" max="11523" width="11" style="9" customWidth="1"/>
    <col min="11524" max="11524" width="14.88671875" style="9" customWidth="1"/>
    <col min="11525" max="11525" width="15.109375" style="9" customWidth="1"/>
    <col min="11526" max="11776" width="9.109375" style="9"/>
    <col min="11777" max="11777" width="18.6640625" style="9" customWidth="1"/>
    <col min="11778" max="11778" width="12.88671875" style="9" customWidth="1"/>
    <col min="11779" max="11779" width="11" style="9" customWidth="1"/>
    <col min="11780" max="11780" width="14.88671875" style="9" customWidth="1"/>
    <col min="11781" max="11781" width="15.109375" style="9" customWidth="1"/>
    <col min="11782" max="12032" width="9.109375" style="9"/>
    <col min="12033" max="12033" width="18.6640625" style="9" customWidth="1"/>
    <col min="12034" max="12034" width="12.88671875" style="9" customWidth="1"/>
    <col min="12035" max="12035" width="11" style="9" customWidth="1"/>
    <col min="12036" max="12036" width="14.88671875" style="9" customWidth="1"/>
    <col min="12037" max="12037" width="15.109375" style="9" customWidth="1"/>
    <col min="12038" max="12288" width="9.109375" style="9"/>
    <col min="12289" max="12289" width="18.6640625" style="9" customWidth="1"/>
    <col min="12290" max="12290" width="12.88671875" style="9" customWidth="1"/>
    <col min="12291" max="12291" width="11" style="9" customWidth="1"/>
    <col min="12292" max="12292" width="14.88671875" style="9" customWidth="1"/>
    <col min="12293" max="12293" width="15.109375" style="9" customWidth="1"/>
    <col min="12294" max="12544" width="9.109375" style="9"/>
    <col min="12545" max="12545" width="18.6640625" style="9" customWidth="1"/>
    <col min="12546" max="12546" width="12.88671875" style="9" customWidth="1"/>
    <col min="12547" max="12547" width="11" style="9" customWidth="1"/>
    <col min="12548" max="12548" width="14.88671875" style="9" customWidth="1"/>
    <col min="12549" max="12549" width="15.109375" style="9" customWidth="1"/>
    <col min="12550" max="12800" width="9.109375" style="9"/>
    <col min="12801" max="12801" width="18.6640625" style="9" customWidth="1"/>
    <col min="12802" max="12802" width="12.88671875" style="9" customWidth="1"/>
    <col min="12803" max="12803" width="11" style="9" customWidth="1"/>
    <col min="12804" max="12804" width="14.88671875" style="9" customWidth="1"/>
    <col min="12805" max="12805" width="15.109375" style="9" customWidth="1"/>
    <col min="12806" max="13056" width="9.109375" style="9"/>
    <col min="13057" max="13057" width="18.6640625" style="9" customWidth="1"/>
    <col min="13058" max="13058" width="12.88671875" style="9" customWidth="1"/>
    <col min="13059" max="13059" width="11" style="9" customWidth="1"/>
    <col min="13060" max="13060" width="14.88671875" style="9" customWidth="1"/>
    <col min="13061" max="13061" width="15.109375" style="9" customWidth="1"/>
    <col min="13062" max="13312" width="9.109375" style="9"/>
    <col min="13313" max="13313" width="18.6640625" style="9" customWidth="1"/>
    <col min="13314" max="13314" width="12.88671875" style="9" customWidth="1"/>
    <col min="13315" max="13315" width="11" style="9" customWidth="1"/>
    <col min="13316" max="13316" width="14.88671875" style="9" customWidth="1"/>
    <col min="13317" max="13317" width="15.109375" style="9" customWidth="1"/>
    <col min="13318" max="13568" width="9.109375" style="9"/>
    <col min="13569" max="13569" width="18.6640625" style="9" customWidth="1"/>
    <col min="13570" max="13570" width="12.88671875" style="9" customWidth="1"/>
    <col min="13571" max="13571" width="11" style="9" customWidth="1"/>
    <col min="13572" max="13572" width="14.88671875" style="9" customWidth="1"/>
    <col min="13573" max="13573" width="15.109375" style="9" customWidth="1"/>
    <col min="13574" max="13824" width="9.109375" style="9"/>
    <col min="13825" max="13825" width="18.6640625" style="9" customWidth="1"/>
    <col min="13826" max="13826" width="12.88671875" style="9" customWidth="1"/>
    <col min="13827" max="13827" width="11" style="9" customWidth="1"/>
    <col min="13828" max="13828" width="14.88671875" style="9" customWidth="1"/>
    <col min="13829" max="13829" width="15.109375" style="9" customWidth="1"/>
    <col min="13830" max="14080" width="9.109375" style="9"/>
    <col min="14081" max="14081" width="18.6640625" style="9" customWidth="1"/>
    <col min="14082" max="14082" width="12.88671875" style="9" customWidth="1"/>
    <col min="14083" max="14083" width="11" style="9" customWidth="1"/>
    <col min="14084" max="14084" width="14.88671875" style="9" customWidth="1"/>
    <col min="14085" max="14085" width="15.109375" style="9" customWidth="1"/>
    <col min="14086" max="14336" width="9.109375" style="9"/>
    <col min="14337" max="14337" width="18.6640625" style="9" customWidth="1"/>
    <col min="14338" max="14338" width="12.88671875" style="9" customWidth="1"/>
    <col min="14339" max="14339" width="11" style="9" customWidth="1"/>
    <col min="14340" max="14340" width="14.88671875" style="9" customWidth="1"/>
    <col min="14341" max="14341" width="15.109375" style="9" customWidth="1"/>
    <col min="14342" max="14592" width="9.109375" style="9"/>
    <col min="14593" max="14593" width="18.6640625" style="9" customWidth="1"/>
    <col min="14594" max="14594" width="12.88671875" style="9" customWidth="1"/>
    <col min="14595" max="14595" width="11" style="9" customWidth="1"/>
    <col min="14596" max="14596" width="14.88671875" style="9" customWidth="1"/>
    <col min="14597" max="14597" width="15.109375" style="9" customWidth="1"/>
    <col min="14598" max="14848" width="9.109375" style="9"/>
    <col min="14849" max="14849" width="18.6640625" style="9" customWidth="1"/>
    <col min="14850" max="14850" width="12.88671875" style="9" customWidth="1"/>
    <col min="14851" max="14851" width="11" style="9" customWidth="1"/>
    <col min="14852" max="14852" width="14.88671875" style="9" customWidth="1"/>
    <col min="14853" max="14853" width="15.109375" style="9" customWidth="1"/>
    <col min="14854" max="15104" width="9.109375" style="9"/>
    <col min="15105" max="15105" width="18.6640625" style="9" customWidth="1"/>
    <col min="15106" max="15106" width="12.88671875" style="9" customWidth="1"/>
    <col min="15107" max="15107" width="11" style="9" customWidth="1"/>
    <col min="15108" max="15108" width="14.88671875" style="9" customWidth="1"/>
    <col min="15109" max="15109" width="15.109375" style="9" customWidth="1"/>
    <col min="15110" max="15360" width="9.109375" style="9"/>
    <col min="15361" max="15361" width="18.6640625" style="9" customWidth="1"/>
    <col min="15362" max="15362" width="12.88671875" style="9" customWidth="1"/>
    <col min="15363" max="15363" width="11" style="9" customWidth="1"/>
    <col min="15364" max="15364" width="14.88671875" style="9" customWidth="1"/>
    <col min="15365" max="15365" width="15.109375" style="9" customWidth="1"/>
    <col min="15366" max="15616" width="9.109375" style="9"/>
    <col min="15617" max="15617" width="18.6640625" style="9" customWidth="1"/>
    <col min="15618" max="15618" width="12.88671875" style="9" customWidth="1"/>
    <col min="15619" max="15619" width="11" style="9" customWidth="1"/>
    <col min="15620" max="15620" width="14.88671875" style="9" customWidth="1"/>
    <col min="15621" max="15621" width="15.109375" style="9" customWidth="1"/>
    <col min="15622" max="15872" width="9.109375" style="9"/>
    <col min="15873" max="15873" width="18.6640625" style="9" customWidth="1"/>
    <col min="15874" max="15874" width="12.88671875" style="9" customWidth="1"/>
    <col min="15875" max="15875" width="11" style="9" customWidth="1"/>
    <col min="15876" max="15876" width="14.88671875" style="9" customWidth="1"/>
    <col min="15877" max="15877" width="15.109375" style="9" customWidth="1"/>
    <col min="15878" max="16128" width="9.109375" style="9"/>
    <col min="16129" max="16129" width="18.6640625" style="9" customWidth="1"/>
    <col min="16130" max="16130" width="12.88671875" style="9" customWidth="1"/>
    <col min="16131" max="16131" width="11" style="9" customWidth="1"/>
    <col min="16132" max="16132" width="14.88671875" style="9" customWidth="1"/>
    <col min="16133" max="16133" width="15.109375" style="9" customWidth="1"/>
    <col min="16134" max="16384" width="9.109375" style="9"/>
  </cols>
  <sheetData>
    <row r="1" spans="1:13" ht="13.8" thickBot="1" x14ac:dyDescent="0.3">
      <c r="A1" s="534" t="s">
        <v>347</v>
      </c>
      <c r="B1" s="534"/>
      <c r="C1" s="534"/>
      <c r="D1" s="534"/>
      <c r="E1" s="534"/>
    </row>
    <row r="2" spans="1:13" ht="53.4" thickBot="1" x14ac:dyDescent="0.35">
      <c r="A2" s="33" t="s">
        <v>348</v>
      </c>
      <c r="B2" s="34" t="s">
        <v>349</v>
      </c>
      <c r="C2" s="34" t="s">
        <v>350</v>
      </c>
      <c r="D2" s="34" t="s">
        <v>351</v>
      </c>
      <c r="E2" s="35" t="s">
        <v>352</v>
      </c>
      <c r="H2" s="481" t="s">
        <v>127</v>
      </c>
      <c r="I2" s="481"/>
      <c r="J2" s="426"/>
      <c r="K2" s="426"/>
      <c r="L2" s="426"/>
      <c r="M2" s="426"/>
    </row>
    <row r="3" spans="1:13" ht="13.2" customHeight="1" x14ac:dyDescent="0.25">
      <c r="A3" s="5" t="str">
        <f>Довідник!$A$54</f>
        <v>Молоко питне</v>
      </c>
      <c r="B3" s="159">
        <f>Собівартість!D3</f>
        <v>23.954031879499528</v>
      </c>
      <c r="C3" s="134">
        <f>Реалізація!B5</f>
        <v>23.999999999999996</v>
      </c>
      <c r="D3" s="134">
        <f>C3-B3</f>
        <v>4.5968120500468501E-2</v>
      </c>
      <c r="E3" s="135">
        <f>D3*100/B3</f>
        <v>0.19190139151400726</v>
      </c>
      <c r="H3" s="499" t="s">
        <v>228</v>
      </c>
      <c r="I3" s="499"/>
      <c r="J3" s="499"/>
      <c r="K3" s="499"/>
      <c r="L3" s="499"/>
      <c r="M3" s="499"/>
    </row>
    <row r="4" spans="1:13" ht="13.2" customHeight="1" x14ac:dyDescent="0.25">
      <c r="A4" s="6" t="str">
        <f>Довідник!$A$55</f>
        <v>Сир кисломолочний</v>
      </c>
      <c r="B4" s="39">
        <f>Собівартість!D4</f>
        <v>160.011150938643</v>
      </c>
      <c r="C4" s="12">
        <f>Реалізація!B8</f>
        <v>145</v>
      </c>
      <c r="D4" s="39">
        <f t="shared" ref="D4:D8" si="0">C4-B4</f>
        <v>-15.011150938642999</v>
      </c>
      <c r="E4" s="40">
        <f t="shared" ref="E4:E8" si="1">D4*100/B4</f>
        <v>-9.3813155211908281</v>
      </c>
      <c r="H4" s="499"/>
      <c r="I4" s="499"/>
      <c r="J4" s="499"/>
      <c r="K4" s="499"/>
      <c r="L4" s="499"/>
      <c r="M4" s="499"/>
    </row>
    <row r="5" spans="1:13" ht="13.2" customHeight="1" x14ac:dyDescent="0.25">
      <c r="A5" s="6" t="str">
        <f>Довідник!$A$56</f>
        <v>Кефір</v>
      </c>
      <c r="B5" s="39">
        <f>Собівартість!D5</f>
        <v>27.914050526082786</v>
      </c>
      <c r="C5" s="12">
        <f>Реалізація!B11</f>
        <v>27.999999999999996</v>
      </c>
      <c r="D5" s="39">
        <f t="shared" si="0"/>
        <v>8.5949473917210639E-2</v>
      </c>
      <c r="E5" s="40">
        <f t="shared" si="1"/>
        <v>0.3079075673267116</v>
      </c>
      <c r="H5" s="427"/>
      <c r="I5" s="427"/>
      <c r="J5" s="427"/>
      <c r="K5" s="427"/>
      <c r="L5" s="427"/>
      <c r="M5" s="427"/>
    </row>
    <row r="6" spans="1:13" ht="13.2" customHeight="1" x14ac:dyDescent="0.25">
      <c r="A6" s="6" t="str">
        <f>Довідник!$A$57</f>
        <v>Сметана</v>
      </c>
      <c r="B6" s="39">
        <f>Собівартість!D6</f>
        <v>131.44316785635229</v>
      </c>
      <c r="C6" s="12">
        <f>Реалізація!B14</f>
        <v>95</v>
      </c>
      <c r="D6" s="39">
        <f t="shared" si="0"/>
        <v>-36.443167856352289</v>
      </c>
      <c r="E6" s="40">
        <f t="shared" si="1"/>
        <v>-27.725418103266666</v>
      </c>
      <c r="H6" s="535" t="s">
        <v>410</v>
      </c>
      <c r="I6" s="535"/>
      <c r="J6" s="535"/>
      <c r="K6" s="535"/>
      <c r="L6" s="535"/>
      <c r="M6" s="535"/>
    </row>
    <row r="7" spans="1:13" ht="13.2" customHeight="1" x14ac:dyDescent="0.25">
      <c r="A7" s="6" t="str">
        <f>Довідник!$A$58</f>
        <v>Сир м'який</v>
      </c>
      <c r="B7" s="39">
        <f>Собівартість!D7</f>
        <v>158.88554586333018</v>
      </c>
      <c r="C7" s="12">
        <f>Реалізація!B17</f>
        <v>159.99999999999997</v>
      </c>
      <c r="D7" s="39">
        <f t="shared" si="0"/>
        <v>1.1144541366697922</v>
      </c>
      <c r="E7" s="40">
        <f t="shared" si="1"/>
        <v>0.7014194592807208</v>
      </c>
      <c r="H7" s="535"/>
      <c r="I7" s="535"/>
      <c r="J7" s="535"/>
      <c r="K7" s="535"/>
      <c r="L7" s="535"/>
      <c r="M7" s="535"/>
    </row>
    <row r="8" spans="1:13" ht="13.8" customHeight="1" thickBot="1" x14ac:dyDescent="0.3">
      <c r="A8" s="7" t="str">
        <f>Довідник!$A$61</f>
        <v>Сир Рікотта</v>
      </c>
      <c r="B8" s="136">
        <f>Собівартість!D8</f>
        <v>133.46193232916278</v>
      </c>
      <c r="C8" s="37">
        <f>Реалізація!B20</f>
        <v>200</v>
      </c>
      <c r="D8" s="136">
        <f t="shared" si="0"/>
        <v>66.538067670837222</v>
      </c>
      <c r="E8" s="137">
        <f t="shared" si="1"/>
        <v>49.855465532097639</v>
      </c>
      <c r="H8" s="535"/>
      <c r="I8" s="535"/>
      <c r="J8" s="535"/>
      <c r="K8" s="535"/>
      <c r="L8" s="535"/>
      <c r="M8" s="535"/>
    </row>
    <row r="9" spans="1:13" ht="13.2" customHeight="1" x14ac:dyDescent="0.25">
      <c r="A9" s="138"/>
      <c r="B9" s="14"/>
      <c r="C9" s="14"/>
      <c r="D9" s="14"/>
      <c r="E9" s="14"/>
      <c r="H9" s="535"/>
      <c r="I9" s="535"/>
      <c r="J9" s="535"/>
      <c r="K9" s="535"/>
      <c r="L9" s="535"/>
      <c r="M9" s="535"/>
    </row>
    <row r="10" spans="1:13" ht="13.2" customHeight="1" x14ac:dyDescent="0.25">
      <c r="A10" s="13"/>
      <c r="B10" s="14"/>
      <c r="C10" s="14"/>
      <c r="D10" s="14"/>
      <c r="E10" s="14"/>
      <c r="H10" s="535"/>
      <c r="I10" s="535"/>
      <c r="J10" s="535"/>
      <c r="K10" s="535"/>
      <c r="L10" s="535"/>
      <c r="M10" s="535"/>
    </row>
    <row r="11" spans="1:13" ht="13.8" customHeight="1" thickBot="1" x14ac:dyDescent="0.3">
      <c r="A11" s="534" t="s">
        <v>347</v>
      </c>
      <c r="B11" s="534"/>
      <c r="C11" s="534"/>
      <c r="D11" s="534"/>
      <c r="E11" s="534"/>
      <c r="H11" s="535"/>
      <c r="I11" s="535"/>
      <c r="J11" s="535"/>
      <c r="K11" s="535"/>
      <c r="L11" s="535"/>
      <c r="M11" s="535"/>
    </row>
    <row r="12" spans="1:13" ht="53.4" thickBot="1" x14ac:dyDescent="0.3">
      <c r="A12" s="33" t="s">
        <v>348</v>
      </c>
      <c r="B12" s="34" t="s">
        <v>349</v>
      </c>
      <c r="C12" s="34" t="s">
        <v>350</v>
      </c>
      <c r="D12" s="34" t="s">
        <v>351</v>
      </c>
      <c r="E12" s="35" t="s">
        <v>352</v>
      </c>
      <c r="H12" s="535"/>
      <c r="I12" s="535"/>
      <c r="J12" s="535"/>
      <c r="K12" s="535"/>
      <c r="L12" s="535"/>
      <c r="M12" s="535"/>
    </row>
    <row r="13" spans="1:13" ht="13.2" customHeight="1" x14ac:dyDescent="0.25">
      <c r="A13" s="5" t="str">
        <f>Довідник!$A$54</f>
        <v>Молоко питне</v>
      </c>
      <c r="B13" s="134">
        <f>Собівартість!D13</f>
        <v>18.859376404948915</v>
      </c>
      <c r="C13" s="134">
        <f>Реалізація!C5</f>
        <v>24</v>
      </c>
      <c r="D13" s="134">
        <f>C13-B13</f>
        <v>5.1406235950510855</v>
      </c>
      <c r="E13" s="135">
        <f>D13*100/B13</f>
        <v>27.257654148639443</v>
      </c>
      <c r="H13" s="535"/>
      <c r="I13" s="535"/>
      <c r="J13" s="535"/>
      <c r="K13" s="535"/>
      <c r="L13" s="535"/>
      <c r="M13" s="535"/>
    </row>
    <row r="14" spans="1:13" ht="13.2" customHeight="1" x14ac:dyDescent="0.25">
      <c r="A14" s="6" t="str">
        <f>Довідник!$A$55</f>
        <v>Сир кисломолочний</v>
      </c>
      <c r="B14" s="39">
        <f>Собівартість!D14</f>
        <v>129.1888574465664</v>
      </c>
      <c r="C14" s="12">
        <f>Реалізація!C8</f>
        <v>145</v>
      </c>
      <c r="D14" s="39">
        <f t="shared" ref="D14:D18" si="2">C14-B14</f>
        <v>15.811142553433598</v>
      </c>
      <c r="E14" s="40">
        <f t="shared" ref="E14:E18" si="3">D14*100/B14</f>
        <v>12.238781939822649</v>
      </c>
      <c r="H14" s="535"/>
      <c r="I14" s="535"/>
      <c r="J14" s="535"/>
      <c r="K14" s="535"/>
      <c r="L14" s="535"/>
      <c r="M14" s="535"/>
    </row>
    <row r="15" spans="1:13" ht="13.2" customHeight="1" x14ac:dyDescent="0.25">
      <c r="A15" s="6" t="str">
        <f>Довідник!$A$56</f>
        <v>Кефір</v>
      </c>
      <c r="B15" s="39">
        <f>Собівартість!D15</f>
        <v>21.832252472440405</v>
      </c>
      <c r="C15" s="12">
        <f>Реалізація!C11</f>
        <v>28</v>
      </c>
      <c r="D15" s="39">
        <f t="shared" si="2"/>
        <v>6.1677475275595945</v>
      </c>
      <c r="E15" s="40">
        <f t="shared" si="3"/>
        <v>28.250623866434999</v>
      </c>
      <c r="H15" s="535"/>
      <c r="I15" s="535"/>
      <c r="J15" s="535"/>
      <c r="K15" s="535"/>
      <c r="L15" s="535"/>
      <c r="M15" s="535"/>
    </row>
    <row r="16" spans="1:13" ht="13.2" customHeight="1" x14ac:dyDescent="0.25">
      <c r="A16" s="6" t="str">
        <f>Довідник!$A$57</f>
        <v>Сметана</v>
      </c>
      <c r="B16" s="39">
        <f>Собівартість!D16</f>
        <v>114.34890660292278</v>
      </c>
      <c r="C16" s="12">
        <f>Реалізація!C14</f>
        <v>95</v>
      </c>
      <c r="D16" s="39">
        <f t="shared" si="2"/>
        <v>-19.348906602922781</v>
      </c>
      <c r="E16" s="40">
        <f t="shared" si="3"/>
        <v>-16.920937136821053</v>
      </c>
      <c r="H16" s="535"/>
      <c r="I16" s="535"/>
      <c r="J16" s="535"/>
      <c r="K16" s="535"/>
      <c r="L16" s="535"/>
      <c r="M16" s="535"/>
    </row>
    <row r="17" spans="1:13" x14ac:dyDescent="0.25">
      <c r="A17" s="6" t="str">
        <f>Довідник!$A$58</f>
        <v>Сир м'який</v>
      </c>
      <c r="B17" s="39">
        <f>Собівартість!D17</f>
        <v>124.24784269965944</v>
      </c>
      <c r="C17" s="12">
        <f>Реалізація!C17</f>
        <v>160</v>
      </c>
      <c r="D17" s="39">
        <f t="shared" si="2"/>
        <v>35.752157300340556</v>
      </c>
      <c r="E17" s="40">
        <f t="shared" si="3"/>
        <v>28.774871678668227</v>
      </c>
      <c r="H17" s="535"/>
      <c r="I17" s="535"/>
      <c r="J17" s="535"/>
      <c r="K17" s="535"/>
      <c r="L17" s="535"/>
      <c r="M17" s="535"/>
    </row>
    <row r="18" spans="1:13" ht="13.8" thickBot="1" x14ac:dyDescent="0.3">
      <c r="A18" s="7" t="str">
        <f>Довідник!$A$61</f>
        <v>Сир Рікотта</v>
      </c>
      <c r="B18" s="136">
        <f>Собівартість!D18</f>
        <v>82.589803374574302</v>
      </c>
      <c r="C18" s="37">
        <f>Реалізація!C20</f>
        <v>199.99999999999997</v>
      </c>
      <c r="D18" s="136">
        <f t="shared" si="2"/>
        <v>117.41019662542567</v>
      </c>
      <c r="E18" s="137">
        <f t="shared" si="3"/>
        <v>142.16064432667122</v>
      </c>
    </row>
    <row r="19" spans="1:13" x14ac:dyDescent="0.25">
      <c r="A19" s="138"/>
      <c r="B19" s="14"/>
      <c r="C19" s="14"/>
      <c r="D19" s="14"/>
      <c r="E19" s="14"/>
    </row>
    <row r="20" spans="1:13" x14ac:dyDescent="0.25">
      <c r="A20" s="13"/>
      <c r="B20" s="14"/>
      <c r="C20" s="14"/>
      <c r="D20" s="14"/>
      <c r="E20" s="14"/>
    </row>
    <row r="21" spans="1:13" ht="13.8" thickBot="1" x14ac:dyDescent="0.3">
      <c r="A21" s="534" t="s">
        <v>347</v>
      </c>
      <c r="B21" s="534"/>
      <c r="C21" s="534"/>
      <c r="D21" s="534"/>
      <c r="E21" s="534"/>
    </row>
    <row r="22" spans="1:13" ht="53.4" thickBot="1" x14ac:dyDescent="0.3">
      <c r="A22" s="33" t="s">
        <v>348</v>
      </c>
      <c r="B22" s="34" t="s">
        <v>349</v>
      </c>
      <c r="C22" s="34" t="s">
        <v>350</v>
      </c>
      <c r="D22" s="34" t="s">
        <v>351</v>
      </c>
      <c r="E22" s="35" t="s">
        <v>352</v>
      </c>
    </row>
    <row r="23" spans="1:13" x14ac:dyDescent="0.25">
      <c r="A23" s="5" t="str">
        <f>Довідник!$A$54</f>
        <v>Молоко питне</v>
      </c>
      <c r="B23" s="134">
        <f>Собівартість!D23</f>
        <v>18.397478109093331</v>
      </c>
      <c r="C23" s="134">
        <f>Реалізація!D5</f>
        <v>24</v>
      </c>
      <c r="D23" s="134">
        <f>C23-B23</f>
        <v>5.6025218909066687</v>
      </c>
      <c r="E23" s="135">
        <f>D23*100/B23</f>
        <v>30.452662357769064</v>
      </c>
    </row>
    <row r="24" spans="1:13" x14ac:dyDescent="0.25">
      <c r="A24" s="6" t="str">
        <f>Довідник!$A$55</f>
        <v>Сир кисломолочний</v>
      </c>
      <c r="B24" s="39">
        <f>Собівартість!D24</f>
        <v>126.35613857577222</v>
      </c>
      <c r="C24" s="12">
        <f>Реалізація!D8</f>
        <v>145</v>
      </c>
      <c r="D24" s="39">
        <f t="shared" ref="D24:D28" si="4">C24-B24</f>
        <v>18.643861424227779</v>
      </c>
      <c r="E24" s="40">
        <f t="shared" ref="E24:E28" si="5">D24*100/B24</f>
        <v>14.755010428755371</v>
      </c>
    </row>
    <row r="25" spans="1:13" x14ac:dyDescent="0.25">
      <c r="A25" s="6" t="str">
        <f>Довідник!$A$56</f>
        <v>Кефір</v>
      </c>
      <c r="B25" s="39">
        <f>Собівартість!D25</f>
        <v>21.155337793942223</v>
      </c>
      <c r="C25" s="12">
        <f>Реалізація!D11</f>
        <v>27.999999999999996</v>
      </c>
      <c r="D25" s="39">
        <f t="shared" si="4"/>
        <v>6.8446622060577731</v>
      </c>
      <c r="E25" s="40">
        <f t="shared" si="5"/>
        <v>32.354303546113663</v>
      </c>
    </row>
    <row r="26" spans="1:13" x14ac:dyDescent="0.25">
      <c r="A26" s="6" t="str">
        <f>Довідник!$A$57</f>
        <v>Сметана</v>
      </c>
      <c r="B26" s="39">
        <f>Собівартість!D26</f>
        <v>115.5926425151611</v>
      </c>
      <c r="C26" s="12">
        <f>Реалізація!D14</f>
        <v>95</v>
      </c>
      <c r="D26" s="39">
        <f t="shared" si="4"/>
        <v>-20.592642515161103</v>
      </c>
      <c r="E26" s="40">
        <f t="shared" si="5"/>
        <v>-17.814838442213286</v>
      </c>
    </row>
    <row r="27" spans="1:13" x14ac:dyDescent="0.25">
      <c r="A27" s="6" t="str">
        <f>Довідник!$A$58</f>
        <v>Сир м'який</v>
      </c>
      <c r="B27" s="39">
        <f>Собівартість!D27</f>
        <v>120.49518739395555</v>
      </c>
      <c r="C27" s="12">
        <f>Реалізація!D17</f>
        <v>160.00000000000003</v>
      </c>
      <c r="D27" s="39">
        <f t="shared" si="4"/>
        <v>39.504812606044482</v>
      </c>
      <c r="E27" s="40">
        <f t="shared" si="5"/>
        <v>32.785386255207548</v>
      </c>
    </row>
    <row r="28" spans="1:13" ht="13.8" thickBot="1" x14ac:dyDescent="0.3">
      <c r="A28" s="7" t="str">
        <f>Довідник!$A$61</f>
        <v>Сир Рікотта</v>
      </c>
      <c r="B28" s="136">
        <f>Собівартість!D28</f>
        <v>70.323984242444425</v>
      </c>
      <c r="C28" s="37">
        <f>Реалізація!D20</f>
        <v>200</v>
      </c>
      <c r="D28" s="136">
        <f t="shared" si="4"/>
        <v>129.67601575755558</v>
      </c>
      <c r="E28" s="137">
        <f t="shared" si="5"/>
        <v>184.39799330836109</v>
      </c>
    </row>
  </sheetData>
  <sheetProtection algorithmName="SHA-512" hashValue="uN0d2q1SwjJtoUEwAnyDWErnAVma7HNeVgzpJexlvp1vmMefd5HZSOJVtNd6ACdBdXkOFJM901AHpIMMjPo6YQ==" saltValue="NI9kobeJXmHy1ygprC/vYQ==" spinCount="100000" sheet="1" objects="1" scenarios="1"/>
  <mergeCells count="6">
    <mergeCell ref="A1:E1"/>
    <mergeCell ref="A11:E11"/>
    <mergeCell ref="A21:E21"/>
    <mergeCell ref="H2:I2"/>
    <mergeCell ref="H3:M4"/>
    <mergeCell ref="H6:M17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F0"/>
  </sheetPr>
  <dimension ref="A1:N31"/>
  <sheetViews>
    <sheetView workbookViewId="0">
      <selection activeCell="P7" sqref="P7"/>
    </sheetView>
  </sheetViews>
  <sheetFormatPr defaultRowHeight="13.2" x14ac:dyDescent="0.25"/>
  <cols>
    <col min="1" max="1" width="18.88671875" style="139" customWidth="1"/>
    <col min="2" max="2" width="14" style="139" customWidth="1"/>
    <col min="3" max="3" width="12.88671875" style="139" customWidth="1"/>
    <col min="4" max="4" width="12.109375" style="139" customWidth="1"/>
    <col min="5" max="5" width="12.33203125" style="139" bestFit="1" customWidth="1"/>
    <col min="6" max="6" width="10.5546875" style="139" customWidth="1"/>
    <col min="7" max="247" width="9.109375" style="139"/>
    <col min="248" max="248" width="18.33203125" style="139" customWidth="1"/>
    <col min="249" max="249" width="14" style="139" customWidth="1"/>
    <col min="250" max="250" width="12.88671875" style="139" customWidth="1"/>
    <col min="251" max="251" width="11.5546875" style="139" customWidth="1"/>
    <col min="252" max="254" width="9.109375" style="139"/>
    <col min="255" max="255" width="10.5546875" style="139" customWidth="1"/>
    <col min="256" max="503" width="9.109375" style="139"/>
    <col min="504" max="504" width="18.33203125" style="139" customWidth="1"/>
    <col min="505" max="505" width="14" style="139" customWidth="1"/>
    <col min="506" max="506" width="12.88671875" style="139" customWidth="1"/>
    <col min="507" max="507" width="11.5546875" style="139" customWidth="1"/>
    <col min="508" max="510" width="9.109375" style="139"/>
    <col min="511" max="511" width="10.5546875" style="139" customWidth="1"/>
    <col min="512" max="759" width="9.109375" style="139"/>
    <col min="760" max="760" width="18.33203125" style="139" customWidth="1"/>
    <col min="761" max="761" width="14" style="139" customWidth="1"/>
    <col min="762" max="762" width="12.88671875" style="139" customWidth="1"/>
    <col min="763" max="763" width="11.5546875" style="139" customWidth="1"/>
    <col min="764" max="766" width="9.109375" style="139"/>
    <col min="767" max="767" width="10.5546875" style="139" customWidth="1"/>
    <col min="768" max="1015" width="9.109375" style="139"/>
    <col min="1016" max="1016" width="18.33203125" style="139" customWidth="1"/>
    <col min="1017" max="1017" width="14" style="139" customWidth="1"/>
    <col min="1018" max="1018" width="12.88671875" style="139" customWidth="1"/>
    <col min="1019" max="1019" width="11.5546875" style="139" customWidth="1"/>
    <col min="1020" max="1022" width="9.109375" style="139"/>
    <col min="1023" max="1023" width="10.5546875" style="139" customWidth="1"/>
    <col min="1024" max="1271" width="9.109375" style="139"/>
    <col min="1272" max="1272" width="18.33203125" style="139" customWidth="1"/>
    <col min="1273" max="1273" width="14" style="139" customWidth="1"/>
    <col min="1274" max="1274" width="12.88671875" style="139" customWidth="1"/>
    <col min="1275" max="1275" width="11.5546875" style="139" customWidth="1"/>
    <col min="1276" max="1278" width="9.109375" style="139"/>
    <col min="1279" max="1279" width="10.5546875" style="139" customWidth="1"/>
    <col min="1280" max="1527" width="9.109375" style="139"/>
    <col min="1528" max="1528" width="18.33203125" style="139" customWidth="1"/>
    <col min="1529" max="1529" width="14" style="139" customWidth="1"/>
    <col min="1530" max="1530" width="12.88671875" style="139" customWidth="1"/>
    <col min="1531" max="1531" width="11.5546875" style="139" customWidth="1"/>
    <col min="1532" max="1534" width="9.109375" style="139"/>
    <col min="1535" max="1535" width="10.5546875" style="139" customWidth="1"/>
    <col min="1536" max="1783" width="9.109375" style="139"/>
    <col min="1784" max="1784" width="18.33203125" style="139" customWidth="1"/>
    <col min="1785" max="1785" width="14" style="139" customWidth="1"/>
    <col min="1786" max="1786" width="12.88671875" style="139" customWidth="1"/>
    <col min="1787" max="1787" width="11.5546875" style="139" customWidth="1"/>
    <col min="1788" max="1790" width="9.109375" style="139"/>
    <col min="1791" max="1791" width="10.5546875" style="139" customWidth="1"/>
    <col min="1792" max="2039" width="9.109375" style="139"/>
    <col min="2040" max="2040" width="18.33203125" style="139" customWidth="1"/>
    <col min="2041" max="2041" width="14" style="139" customWidth="1"/>
    <col min="2042" max="2042" width="12.88671875" style="139" customWidth="1"/>
    <col min="2043" max="2043" width="11.5546875" style="139" customWidth="1"/>
    <col min="2044" max="2046" width="9.109375" style="139"/>
    <col min="2047" max="2047" width="10.5546875" style="139" customWidth="1"/>
    <col min="2048" max="2295" width="9.109375" style="139"/>
    <col min="2296" max="2296" width="18.33203125" style="139" customWidth="1"/>
    <col min="2297" max="2297" width="14" style="139" customWidth="1"/>
    <col min="2298" max="2298" width="12.88671875" style="139" customWidth="1"/>
    <col min="2299" max="2299" width="11.5546875" style="139" customWidth="1"/>
    <col min="2300" max="2302" width="9.109375" style="139"/>
    <col min="2303" max="2303" width="10.5546875" style="139" customWidth="1"/>
    <col min="2304" max="2551" width="9.109375" style="139"/>
    <col min="2552" max="2552" width="18.33203125" style="139" customWidth="1"/>
    <col min="2553" max="2553" width="14" style="139" customWidth="1"/>
    <col min="2554" max="2554" width="12.88671875" style="139" customWidth="1"/>
    <col min="2555" max="2555" width="11.5546875" style="139" customWidth="1"/>
    <col min="2556" max="2558" width="9.109375" style="139"/>
    <col min="2559" max="2559" width="10.5546875" style="139" customWidth="1"/>
    <col min="2560" max="2807" width="9.109375" style="139"/>
    <col min="2808" max="2808" width="18.33203125" style="139" customWidth="1"/>
    <col min="2809" max="2809" width="14" style="139" customWidth="1"/>
    <col min="2810" max="2810" width="12.88671875" style="139" customWidth="1"/>
    <col min="2811" max="2811" width="11.5546875" style="139" customWidth="1"/>
    <col min="2812" max="2814" width="9.109375" style="139"/>
    <col min="2815" max="2815" width="10.5546875" style="139" customWidth="1"/>
    <col min="2816" max="3063" width="9.109375" style="139"/>
    <col min="3064" max="3064" width="18.33203125" style="139" customWidth="1"/>
    <col min="3065" max="3065" width="14" style="139" customWidth="1"/>
    <col min="3066" max="3066" width="12.88671875" style="139" customWidth="1"/>
    <col min="3067" max="3067" width="11.5546875" style="139" customWidth="1"/>
    <col min="3068" max="3070" width="9.109375" style="139"/>
    <col min="3071" max="3071" width="10.5546875" style="139" customWidth="1"/>
    <col min="3072" max="3319" width="9.109375" style="139"/>
    <col min="3320" max="3320" width="18.33203125" style="139" customWidth="1"/>
    <col min="3321" max="3321" width="14" style="139" customWidth="1"/>
    <col min="3322" max="3322" width="12.88671875" style="139" customWidth="1"/>
    <col min="3323" max="3323" width="11.5546875" style="139" customWidth="1"/>
    <col min="3324" max="3326" width="9.109375" style="139"/>
    <col min="3327" max="3327" width="10.5546875" style="139" customWidth="1"/>
    <col min="3328" max="3575" width="9.109375" style="139"/>
    <col min="3576" max="3576" width="18.33203125" style="139" customWidth="1"/>
    <col min="3577" max="3577" width="14" style="139" customWidth="1"/>
    <col min="3578" max="3578" width="12.88671875" style="139" customWidth="1"/>
    <col min="3579" max="3579" width="11.5546875" style="139" customWidth="1"/>
    <col min="3580" max="3582" width="9.109375" style="139"/>
    <col min="3583" max="3583" width="10.5546875" style="139" customWidth="1"/>
    <col min="3584" max="3831" width="9.109375" style="139"/>
    <col min="3832" max="3832" width="18.33203125" style="139" customWidth="1"/>
    <col min="3833" max="3833" width="14" style="139" customWidth="1"/>
    <col min="3834" max="3834" width="12.88671875" style="139" customWidth="1"/>
    <col min="3835" max="3835" width="11.5546875" style="139" customWidth="1"/>
    <col min="3836" max="3838" width="9.109375" style="139"/>
    <col min="3839" max="3839" width="10.5546875" style="139" customWidth="1"/>
    <col min="3840" max="4087" width="9.109375" style="139"/>
    <col min="4088" max="4088" width="18.33203125" style="139" customWidth="1"/>
    <col min="4089" max="4089" width="14" style="139" customWidth="1"/>
    <col min="4090" max="4090" width="12.88671875" style="139" customWidth="1"/>
    <col min="4091" max="4091" width="11.5546875" style="139" customWidth="1"/>
    <col min="4092" max="4094" width="9.109375" style="139"/>
    <col min="4095" max="4095" width="10.5546875" style="139" customWidth="1"/>
    <col min="4096" max="4343" width="9.109375" style="139"/>
    <col min="4344" max="4344" width="18.33203125" style="139" customWidth="1"/>
    <col min="4345" max="4345" width="14" style="139" customWidth="1"/>
    <col min="4346" max="4346" width="12.88671875" style="139" customWidth="1"/>
    <col min="4347" max="4347" width="11.5546875" style="139" customWidth="1"/>
    <col min="4348" max="4350" width="9.109375" style="139"/>
    <col min="4351" max="4351" width="10.5546875" style="139" customWidth="1"/>
    <col min="4352" max="4599" width="9.109375" style="139"/>
    <col min="4600" max="4600" width="18.33203125" style="139" customWidth="1"/>
    <col min="4601" max="4601" width="14" style="139" customWidth="1"/>
    <col min="4602" max="4602" width="12.88671875" style="139" customWidth="1"/>
    <col min="4603" max="4603" width="11.5546875" style="139" customWidth="1"/>
    <col min="4604" max="4606" width="9.109375" style="139"/>
    <col min="4607" max="4607" width="10.5546875" style="139" customWidth="1"/>
    <col min="4608" max="4855" width="9.109375" style="139"/>
    <col min="4856" max="4856" width="18.33203125" style="139" customWidth="1"/>
    <col min="4857" max="4857" width="14" style="139" customWidth="1"/>
    <col min="4858" max="4858" width="12.88671875" style="139" customWidth="1"/>
    <col min="4859" max="4859" width="11.5546875" style="139" customWidth="1"/>
    <col min="4860" max="4862" width="9.109375" style="139"/>
    <col min="4863" max="4863" width="10.5546875" style="139" customWidth="1"/>
    <col min="4864" max="5111" width="9.109375" style="139"/>
    <col min="5112" max="5112" width="18.33203125" style="139" customWidth="1"/>
    <col min="5113" max="5113" width="14" style="139" customWidth="1"/>
    <col min="5114" max="5114" width="12.88671875" style="139" customWidth="1"/>
    <col min="5115" max="5115" width="11.5546875" style="139" customWidth="1"/>
    <col min="5116" max="5118" width="9.109375" style="139"/>
    <col min="5119" max="5119" width="10.5546875" style="139" customWidth="1"/>
    <col min="5120" max="5367" width="9.109375" style="139"/>
    <col min="5368" max="5368" width="18.33203125" style="139" customWidth="1"/>
    <col min="5369" max="5369" width="14" style="139" customWidth="1"/>
    <col min="5370" max="5370" width="12.88671875" style="139" customWidth="1"/>
    <col min="5371" max="5371" width="11.5546875" style="139" customWidth="1"/>
    <col min="5372" max="5374" width="9.109375" style="139"/>
    <col min="5375" max="5375" width="10.5546875" style="139" customWidth="1"/>
    <col min="5376" max="5623" width="9.109375" style="139"/>
    <col min="5624" max="5624" width="18.33203125" style="139" customWidth="1"/>
    <col min="5625" max="5625" width="14" style="139" customWidth="1"/>
    <col min="5626" max="5626" width="12.88671875" style="139" customWidth="1"/>
    <col min="5627" max="5627" width="11.5546875" style="139" customWidth="1"/>
    <col min="5628" max="5630" width="9.109375" style="139"/>
    <col min="5631" max="5631" width="10.5546875" style="139" customWidth="1"/>
    <col min="5632" max="5879" width="9.109375" style="139"/>
    <col min="5880" max="5880" width="18.33203125" style="139" customWidth="1"/>
    <col min="5881" max="5881" width="14" style="139" customWidth="1"/>
    <col min="5882" max="5882" width="12.88671875" style="139" customWidth="1"/>
    <col min="5883" max="5883" width="11.5546875" style="139" customWidth="1"/>
    <col min="5884" max="5886" width="9.109375" style="139"/>
    <col min="5887" max="5887" width="10.5546875" style="139" customWidth="1"/>
    <col min="5888" max="6135" width="9.109375" style="139"/>
    <col min="6136" max="6136" width="18.33203125" style="139" customWidth="1"/>
    <col min="6137" max="6137" width="14" style="139" customWidth="1"/>
    <col min="6138" max="6138" width="12.88671875" style="139" customWidth="1"/>
    <col min="6139" max="6139" width="11.5546875" style="139" customWidth="1"/>
    <col min="6140" max="6142" width="9.109375" style="139"/>
    <col min="6143" max="6143" width="10.5546875" style="139" customWidth="1"/>
    <col min="6144" max="6391" width="9.109375" style="139"/>
    <col min="6392" max="6392" width="18.33203125" style="139" customWidth="1"/>
    <col min="6393" max="6393" width="14" style="139" customWidth="1"/>
    <col min="6394" max="6394" width="12.88671875" style="139" customWidth="1"/>
    <col min="6395" max="6395" width="11.5546875" style="139" customWidth="1"/>
    <col min="6396" max="6398" width="9.109375" style="139"/>
    <col min="6399" max="6399" width="10.5546875" style="139" customWidth="1"/>
    <col min="6400" max="6647" width="9.109375" style="139"/>
    <col min="6648" max="6648" width="18.33203125" style="139" customWidth="1"/>
    <col min="6649" max="6649" width="14" style="139" customWidth="1"/>
    <col min="6650" max="6650" width="12.88671875" style="139" customWidth="1"/>
    <col min="6651" max="6651" width="11.5546875" style="139" customWidth="1"/>
    <col min="6652" max="6654" width="9.109375" style="139"/>
    <col min="6655" max="6655" width="10.5546875" style="139" customWidth="1"/>
    <col min="6656" max="6903" width="9.109375" style="139"/>
    <col min="6904" max="6904" width="18.33203125" style="139" customWidth="1"/>
    <col min="6905" max="6905" width="14" style="139" customWidth="1"/>
    <col min="6906" max="6906" width="12.88671875" style="139" customWidth="1"/>
    <col min="6907" max="6907" width="11.5546875" style="139" customWidth="1"/>
    <col min="6908" max="6910" width="9.109375" style="139"/>
    <col min="6911" max="6911" width="10.5546875" style="139" customWidth="1"/>
    <col min="6912" max="7159" width="9.109375" style="139"/>
    <col min="7160" max="7160" width="18.33203125" style="139" customWidth="1"/>
    <col min="7161" max="7161" width="14" style="139" customWidth="1"/>
    <col min="7162" max="7162" width="12.88671875" style="139" customWidth="1"/>
    <col min="7163" max="7163" width="11.5546875" style="139" customWidth="1"/>
    <col min="7164" max="7166" width="9.109375" style="139"/>
    <col min="7167" max="7167" width="10.5546875" style="139" customWidth="1"/>
    <col min="7168" max="7415" width="9.109375" style="139"/>
    <col min="7416" max="7416" width="18.33203125" style="139" customWidth="1"/>
    <col min="7417" max="7417" width="14" style="139" customWidth="1"/>
    <col min="7418" max="7418" width="12.88671875" style="139" customWidth="1"/>
    <col min="7419" max="7419" width="11.5546875" style="139" customWidth="1"/>
    <col min="7420" max="7422" width="9.109375" style="139"/>
    <col min="7423" max="7423" width="10.5546875" style="139" customWidth="1"/>
    <col min="7424" max="7671" width="9.109375" style="139"/>
    <col min="7672" max="7672" width="18.33203125" style="139" customWidth="1"/>
    <col min="7673" max="7673" width="14" style="139" customWidth="1"/>
    <col min="7674" max="7674" width="12.88671875" style="139" customWidth="1"/>
    <col min="7675" max="7675" width="11.5546875" style="139" customWidth="1"/>
    <col min="7676" max="7678" width="9.109375" style="139"/>
    <col min="7679" max="7679" width="10.5546875" style="139" customWidth="1"/>
    <col min="7680" max="7927" width="9.109375" style="139"/>
    <col min="7928" max="7928" width="18.33203125" style="139" customWidth="1"/>
    <col min="7929" max="7929" width="14" style="139" customWidth="1"/>
    <col min="7930" max="7930" width="12.88671875" style="139" customWidth="1"/>
    <col min="7931" max="7931" width="11.5546875" style="139" customWidth="1"/>
    <col min="7932" max="7934" width="9.109375" style="139"/>
    <col min="7935" max="7935" width="10.5546875" style="139" customWidth="1"/>
    <col min="7936" max="8183" width="9.109375" style="139"/>
    <col min="8184" max="8184" width="18.33203125" style="139" customWidth="1"/>
    <col min="8185" max="8185" width="14" style="139" customWidth="1"/>
    <col min="8186" max="8186" width="12.88671875" style="139" customWidth="1"/>
    <col min="8187" max="8187" width="11.5546875" style="139" customWidth="1"/>
    <col min="8188" max="8190" width="9.109375" style="139"/>
    <col min="8191" max="8191" width="10.5546875" style="139" customWidth="1"/>
    <col min="8192" max="8439" width="9.109375" style="139"/>
    <col min="8440" max="8440" width="18.33203125" style="139" customWidth="1"/>
    <col min="8441" max="8441" width="14" style="139" customWidth="1"/>
    <col min="8442" max="8442" width="12.88671875" style="139" customWidth="1"/>
    <col min="8443" max="8443" width="11.5546875" style="139" customWidth="1"/>
    <col min="8444" max="8446" width="9.109375" style="139"/>
    <col min="8447" max="8447" width="10.5546875" style="139" customWidth="1"/>
    <col min="8448" max="8695" width="9.109375" style="139"/>
    <col min="8696" max="8696" width="18.33203125" style="139" customWidth="1"/>
    <col min="8697" max="8697" width="14" style="139" customWidth="1"/>
    <col min="8698" max="8698" width="12.88671875" style="139" customWidth="1"/>
    <col min="8699" max="8699" width="11.5546875" style="139" customWidth="1"/>
    <col min="8700" max="8702" width="9.109375" style="139"/>
    <col min="8703" max="8703" width="10.5546875" style="139" customWidth="1"/>
    <col min="8704" max="8951" width="9.109375" style="139"/>
    <col min="8952" max="8952" width="18.33203125" style="139" customWidth="1"/>
    <col min="8953" max="8953" width="14" style="139" customWidth="1"/>
    <col min="8954" max="8954" width="12.88671875" style="139" customWidth="1"/>
    <col min="8955" max="8955" width="11.5546875" style="139" customWidth="1"/>
    <col min="8956" max="8958" width="9.109375" style="139"/>
    <col min="8959" max="8959" width="10.5546875" style="139" customWidth="1"/>
    <col min="8960" max="9207" width="9.109375" style="139"/>
    <col min="9208" max="9208" width="18.33203125" style="139" customWidth="1"/>
    <col min="9209" max="9209" width="14" style="139" customWidth="1"/>
    <col min="9210" max="9210" width="12.88671875" style="139" customWidth="1"/>
    <col min="9211" max="9211" width="11.5546875" style="139" customWidth="1"/>
    <col min="9212" max="9214" width="9.109375" style="139"/>
    <col min="9215" max="9215" width="10.5546875" style="139" customWidth="1"/>
    <col min="9216" max="9463" width="9.109375" style="139"/>
    <col min="9464" max="9464" width="18.33203125" style="139" customWidth="1"/>
    <col min="9465" max="9465" width="14" style="139" customWidth="1"/>
    <col min="9466" max="9466" width="12.88671875" style="139" customWidth="1"/>
    <col min="9467" max="9467" width="11.5546875" style="139" customWidth="1"/>
    <col min="9468" max="9470" width="9.109375" style="139"/>
    <col min="9471" max="9471" width="10.5546875" style="139" customWidth="1"/>
    <col min="9472" max="9719" width="9.109375" style="139"/>
    <col min="9720" max="9720" width="18.33203125" style="139" customWidth="1"/>
    <col min="9721" max="9721" width="14" style="139" customWidth="1"/>
    <col min="9722" max="9722" width="12.88671875" style="139" customWidth="1"/>
    <col min="9723" max="9723" width="11.5546875" style="139" customWidth="1"/>
    <col min="9724" max="9726" width="9.109375" style="139"/>
    <col min="9727" max="9727" width="10.5546875" style="139" customWidth="1"/>
    <col min="9728" max="9975" width="9.109375" style="139"/>
    <col min="9976" max="9976" width="18.33203125" style="139" customWidth="1"/>
    <col min="9977" max="9977" width="14" style="139" customWidth="1"/>
    <col min="9978" max="9978" width="12.88671875" style="139" customWidth="1"/>
    <col min="9979" max="9979" width="11.5546875" style="139" customWidth="1"/>
    <col min="9980" max="9982" width="9.109375" style="139"/>
    <col min="9983" max="9983" width="10.5546875" style="139" customWidth="1"/>
    <col min="9984" max="10231" width="9.109375" style="139"/>
    <col min="10232" max="10232" width="18.33203125" style="139" customWidth="1"/>
    <col min="10233" max="10233" width="14" style="139" customWidth="1"/>
    <col min="10234" max="10234" width="12.88671875" style="139" customWidth="1"/>
    <col min="10235" max="10235" width="11.5546875" style="139" customWidth="1"/>
    <col min="10236" max="10238" width="9.109375" style="139"/>
    <col min="10239" max="10239" width="10.5546875" style="139" customWidth="1"/>
    <col min="10240" max="10487" width="9.109375" style="139"/>
    <col min="10488" max="10488" width="18.33203125" style="139" customWidth="1"/>
    <col min="10489" max="10489" width="14" style="139" customWidth="1"/>
    <col min="10490" max="10490" width="12.88671875" style="139" customWidth="1"/>
    <col min="10491" max="10491" width="11.5546875" style="139" customWidth="1"/>
    <col min="10492" max="10494" width="9.109375" style="139"/>
    <col min="10495" max="10495" width="10.5546875" style="139" customWidth="1"/>
    <col min="10496" max="10743" width="9.109375" style="139"/>
    <col min="10744" max="10744" width="18.33203125" style="139" customWidth="1"/>
    <col min="10745" max="10745" width="14" style="139" customWidth="1"/>
    <col min="10746" max="10746" width="12.88671875" style="139" customWidth="1"/>
    <col min="10747" max="10747" width="11.5546875" style="139" customWidth="1"/>
    <col min="10748" max="10750" width="9.109375" style="139"/>
    <col min="10751" max="10751" width="10.5546875" style="139" customWidth="1"/>
    <col min="10752" max="10999" width="9.109375" style="139"/>
    <col min="11000" max="11000" width="18.33203125" style="139" customWidth="1"/>
    <col min="11001" max="11001" width="14" style="139" customWidth="1"/>
    <col min="11002" max="11002" width="12.88671875" style="139" customWidth="1"/>
    <col min="11003" max="11003" width="11.5546875" style="139" customWidth="1"/>
    <col min="11004" max="11006" width="9.109375" style="139"/>
    <col min="11007" max="11007" width="10.5546875" style="139" customWidth="1"/>
    <col min="11008" max="11255" width="9.109375" style="139"/>
    <col min="11256" max="11256" width="18.33203125" style="139" customWidth="1"/>
    <col min="11257" max="11257" width="14" style="139" customWidth="1"/>
    <col min="11258" max="11258" width="12.88671875" style="139" customWidth="1"/>
    <col min="11259" max="11259" width="11.5546875" style="139" customWidth="1"/>
    <col min="11260" max="11262" width="9.109375" style="139"/>
    <col min="11263" max="11263" width="10.5546875" style="139" customWidth="1"/>
    <col min="11264" max="11511" width="9.109375" style="139"/>
    <col min="11512" max="11512" width="18.33203125" style="139" customWidth="1"/>
    <col min="11513" max="11513" width="14" style="139" customWidth="1"/>
    <col min="11514" max="11514" width="12.88671875" style="139" customWidth="1"/>
    <col min="11515" max="11515" width="11.5546875" style="139" customWidth="1"/>
    <col min="11516" max="11518" width="9.109375" style="139"/>
    <col min="11519" max="11519" width="10.5546875" style="139" customWidth="1"/>
    <col min="11520" max="11767" width="9.109375" style="139"/>
    <col min="11768" max="11768" width="18.33203125" style="139" customWidth="1"/>
    <col min="11769" max="11769" width="14" style="139" customWidth="1"/>
    <col min="11770" max="11770" width="12.88671875" style="139" customWidth="1"/>
    <col min="11771" max="11771" width="11.5546875" style="139" customWidth="1"/>
    <col min="11772" max="11774" width="9.109375" style="139"/>
    <col min="11775" max="11775" width="10.5546875" style="139" customWidth="1"/>
    <col min="11776" max="12023" width="9.109375" style="139"/>
    <col min="12024" max="12024" width="18.33203125" style="139" customWidth="1"/>
    <col min="12025" max="12025" width="14" style="139" customWidth="1"/>
    <col min="12026" max="12026" width="12.88671875" style="139" customWidth="1"/>
    <col min="12027" max="12027" width="11.5546875" style="139" customWidth="1"/>
    <col min="12028" max="12030" width="9.109375" style="139"/>
    <col min="12031" max="12031" width="10.5546875" style="139" customWidth="1"/>
    <col min="12032" max="12279" width="9.109375" style="139"/>
    <col min="12280" max="12280" width="18.33203125" style="139" customWidth="1"/>
    <col min="12281" max="12281" width="14" style="139" customWidth="1"/>
    <col min="12282" max="12282" width="12.88671875" style="139" customWidth="1"/>
    <col min="12283" max="12283" width="11.5546875" style="139" customWidth="1"/>
    <col min="12284" max="12286" width="9.109375" style="139"/>
    <col min="12287" max="12287" width="10.5546875" style="139" customWidth="1"/>
    <col min="12288" max="12535" width="9.109375" style="139"/>
    <col min="12536" max="12536" width="18.33203125" style="139" customWidth="1"/>
    <col min="12537" max="12537" width="14" style="139" customWidth="1"/>
    <col min="12538" max="12538" width="12.88671875" style="139" customWidth="1"/>
    <col min="12539" max="12539" width="11.5546875" style="139" customWidth="1"/>
    <col min="12540" max="12542" width="9.109375" style="139"/>
    <col min="12543" max="12543" width="10.5546875" style="139" customWidth="1"/>
    <col min="12544" max="12791" width="9.109375" style="139"/>
    <col min="12792" max="12792" width="18.33203125" style="139" customWidth="1"/>
    <col min="12793" max="12793" width="14" style="139" customWidth="1"/>
    <col min="12794" max="12794" width="12.88671875" style="139" customWidth="1"/>
    <col min="12795" max="12795" width="11.5546875" style="139" customWidth="1"/>
    <col min="12796" max="12798" width="9.109375" style="139"/>
    <col min="12799" max="12799" width="10.5546875" style="139" customWidth="1"/>
    <col min="12800" max="13047" width="9.109375" style="139"/>
    <col min="13048" max="13048" width="18.33203125" style="139" customWidth="1"/>
    <col min="13049" max="13049" width="14" style="139" customWidth="1"/>
    <col min="13050" max="13050" width="12.88671875" style="139" customWidth="1"/>
    <col min="13051" max="13051" width="11.5546875" style="139" customWidth="1"/>
    <col min="13052" max="13054" width="9.109375" style="139"/>
    <col min="13055" max="13055" width="10.5546875" style="139" customWidth="1"/>
    <col min="13056" max="13303" width="9.109375" style="139"/>
    <col min="13304" max="13304" width="18.33203125" style="139" customWidth="1"/>
    <col min="13305" max="13305" width="14" style="139" customWidth="1"/>
    <col min="13306" max="13306" width="12.88671875" style="139" customWidth="1"/>
    <col min="13307" max="13307" width="11.5546875" style="139" customWidth="1"/>
    <col min="13308" max="13310" width="9.109375" style="139"/>
    <col min="13311" max="13311" width="10.5546875" style="139" customWidth="1"/>
    <col min="13312" max="13559" width="9.109375" style="139"/>
    <col min="13560" max="13560" width="18.33203125" style="139" customWidth="1"/>
    <col min="13561" max="13561" width="14" style="139" customWidth="1"/>
    <col min="13562" max="13562" width="12.88671875" style="139" customWidth="1"/>
    <col min="13563" max="13563" width="11.5546875" style="139" customWidth="1"/>
    <col min="13564" max="13566" width="9.109375" style="139"/>
    <col min="13567" max="13567" width="10.5546875" style="139" customWidth="1"/>
    <col min="13568" max="13815" width="9.109375" style="139"/>
    <col min="13816" max="13816" width="18.33203125" style="139" customWidth="1"/>
    <col min="13817" max="13817" width="14" style="139" customWidth="1"/>
    <col min="13818" max="13818" width="12.88671875" style="139" customWidth="1"/>
    <col min="13819" max="13819" width="11.5546875" style="139" customWidth="1"/>
    <col min="13820" max="13822" width="9.109375" style="139"/>
    <col min="13823" max="13823" width="10.5546875" style="139" customWidth="1"/>
    <col min="13824" max="14071" width="9.109375" style="139"/>
    <col min="14072" max="14072" width="18.33203125" style="139" customWidth="1"/>
    <col min="14073" max="14073" width="14" style="139" customWidth="1"/>
    <col min="14074" max="14074" width="12.88671875" style="139" customWidth="1"/>
    <col min="14075" max="14075" width="11.5546875" style="139" customWidth="1"/>
    <col min="14076" max="14078" width="9.109375" style="139"/>
    <col min="14079" max="14079" width="10.5546875" style="139" customWidth="1"/>
    <col min="14080" max="14327" width="9.109375" style="139"/>
    <col min="14328" max="14328" width="18.33203125" style="139" customWidth="1"/>
    <col min="14329" max="14329" width="14" style="139" customWidth="1"/>
    <col min="14330" max="14330" width="12.88671875" style="139" customWidth="1"/>
    <col min="14331" max="14331" width="11.5546875" style="139" customWidth="1"/>
    <col min="14332" max="14334" width="9.109375" style="139"/>
    <col min="14335" max="14335" width="10.5546875" style="139" customWidth="1"/>
    <col min="14336" max="14583" width="9.109375" style="139"/>
    <col min="14584" max="14584" width="18.33203125" style="139" customWidth="1"/>
    <col min="14585" max="14585" width="14" style="139" customWidth="1"/>
    <col min="14586" max="14586" width="12.88671875" style="139" customWidth="1"/>
    <col min="14587" max="14587" width="11.5546875" style="139" customWidth="1"/>
    <col min="14588" max="14590" width="9.109375" style="139"/>
    <col min="14591" max="14591" width="10.5546875" style="139" customWidth="1"/>
    <col min="14592" max="14839" width="9.109375" style="139"/>
    <col min="14840" max="14840" width="18.33203125" style="139" customWidth="1"/>
    <col min="14841" max="14841" width="14" style="139" customWidth="1"/>
    <col min="14842" max="14842" width="12.88671875" style="139" customWidth="1"/>
    <col min="14843" max="14843" width="11.5546875" style="139" customWidth="1"/>
    <col min="14844" max="14846" width="9.109375" style="139"/>
    <col min="14847" max="14847" width="10.5546875" style="139" customWidth="1"/>
    <col min="14848" max="15095" width="9.109375" style="139"/>
    <col min="15096" max="15096" width="18.33203125" style="139" customWidth="1"/>
    <col min="15097" max="15097" width="14" style="139" customWidth="1"/>
    <col min="15098" max="15098" width="12.88671875" style="139" customWidth="1"/>
    <col min="15099" max="15099" width="11.5546875" style="139" customWidth="1"/>
    <col min="15100" max="15102" width="9.109375" style="139"/>
    <col min="15103" max="15103" width="10.5546875" style="139" customWidth="1"/>
    <col min="15104" max="15351" width="9.109375" style="139"/>
    <col min="15352" max="15352" width="18.33203125" style="139" customWidth="1"/>
    <col min="15353" max="15353" width="14" style="139" customWidth="1"/>
    <col min="15354" max="15354" width="12.88671875" style="139" customWidth="1"/>
    <col min="15355" max="15355" width="11.5546875" style="139" customWidth="1"/>
    <col min="15356" max="15358" width="9.109375" style="139"/>
    <col min="15359" max="15359" width="10.5546875" style="139" customWidth="1"/>
    <col min="15360" max="15607" width="9.109375" style="139"/>
    <col min="15608" max="15608" width="18.33203125" style="139" customWidth="1"/>
    <col min="15609" max="15609" width="14" style="139" customWidth="1"/>
    <col min="15610" max="15610" width="12.88671875" style="139" customWidth="1"/>
    <col min="15611" max="15611" width="11.5546875" style="139" customWidth="1"/>
    <col min="15612" max="15614" width="9.109375" style="139"/>
    <col min="15615" max="15615" width="10.5546875" style="139" customWidth="1"/>
    <col min="15616" max="15863" width="9.109375" style="139"/>
    <col min="15864" max="15864" width="18.33203125" style="139" customWidth="1"/>
    <col min="15865" max="15865" width="14" style="139" customWidth="1"/>
    <col min="15866" max="15866" width="12.88671875" style="139" customWidth="1"/>
    <col min="15867" max="15867" width="11.5546875" style="139" customWidth="1"/>
    <col min="15868" max="15870" width="9.109375" style="139"/>
    <col min="15871" max="15871" width="10.5546875" style="139" customWidth="1"/>
    <col min="15872" max="16119" width="9.109375" style="139"/>
    <col min="16120" max="16120" width="18.33203125" style="139" customWidth="1"/>
    <col min="16121" max="16121" width="14" style="139" customWidth="1"/>
    <col min="16122" max="16122" width="12.88671875" style="139" customWidth="1"/>
    <col min="16123" max="16123" width="11.5546875" style="139" customWidth="1"/>
    <col min="16124" max="16126" width="9.109375" style="139"/>
    <col min="16127" max="16127" width="10.5546875" style="139" customWidth="1"/>
    <col min="16128" max="16376" width="9.109375" style="139"/>
    <col min="16377" max="16384" width="9.109375" style="139" customWidth="1"/>
  </cols>
  <sheetData>
    <row r="1" spans="1:14" ht="13.8" thickBot="1" x14ac:dyDescent="0.3">
      <c r="A1" s="532" t="s">
        <v>353</v>
      </c>
      <c r="B1" s="532"/>
      <c r="C1" s="532"/>
      <c r="D1" s="532"/>
      <c r="E1" s="532"/>
      <c r="F1" s="532"/>
    </row>
    <row r="2" spans="1:14" s="144" customFormat="1" ht="53.4" thickBot="1" x14ac:dyDescent="0.35">
      <c r="A2" s="140" t="s">
        <v>348</v>
      </c>
      <c r="B2" s="141" t="s">
        <v>354</v>
      </c>
      <c r="C2" s="141" t="s">
        <v>355</v>
      </c>
      <c r="D2" s="141" t="s">
        <v>356</v>
      </c>
      <c r="E2" s="142" t="s">
        <v>357</v>
      </c>
      <c r="F2" s="143" t="s">
        <v>352</v>
      </c>
      <c r="I2" s="481" t="s">
        <v>127</v>
      </c>
      <c r="J2" s="481"/>
      <c r="K2" s="426"/>
      <c r="L2" s="426"/>
      <c r="M2" s="426"/>
      <c r="N2" s="426"/>
    </row>
    <row r="3" spans="1:14" ht="13.2" customHeight="1" x14ac:dyDescent="0.25">
      <c r="A3" s="145" t="str">
        <f>Довідник!$A$54</f>
        <v>Молоко питне</v>
      </c>
      <c r="B3" s="146">
        <f>Собівартість!B3</f>
        <v>15027.52</v>
      </c>
      <c r="C3" s="146">
        <f>Реалізація!$B6</f>
        <v>360660.47999999998</v>
      </c>
      <c r="D3" s="147">
        <f>Собівартість!C3</f>
        <v>359969.69314981677</v>
      </c>
      <c r="E3" s="147">
        <f>C3-D3</f>
        <v>690.78685018321266</v>
      </c>
      <c r="F3" s="148">
        <f>E3/D3</f>
        <v>1.9190139151401065E-3</v>
      </c>
      <c r="I3" s="499" t="s">
        <v>228</v>
      </c>
      <c r="J3" s="499"/>
      <c r="K3" s="499"/>
      <c r="L3" s="499"/>
      <c r="M3" s="499"/>
      <c r="N3" s="499"/>
    </row>
    <row r="4" spans="1:14" ht="13.2" customHeight="1" x14ac:dyDescent="0.25">
      <c r="A4" s="145" t="str">
        <f>Довідник!$A$55</f>
        <v>Сир кисломолочний</v>
      </c>
      <c r="B4" s="146">
        <f>Собівартість!B4</f>
        <v>5009.1733333333332</v>
      </c>
      <c r="C4" s="146">
        <f>Реалізація!$B9</f>
        <v>726330.1333333333</v>
      </c>
      <c r="D4" s="149">
        <f>Собівартість!C4</f>
        <v>801523.59031782544</v>
      </c>
      <c r="E4" s="147">
        <f t="shared" ref="E4:E8" si="0">C4-D4</f>
        <v>-75193.456984492135</v>
      </c>
      <c r="F4" s="148">
        <f t="shared" ref="F4:F8" si="1">E4/D4</f>
        <v>-9.3813155211908278E-2</v>
      </c>
      <c r="I4" s="499"/>
      <c r="J4" s="499"/>
      <c r="K4" s="499"/>
      <c r="L4" s="499"/>
      <c r="M4" s="499"/>
      <c r="N4" s="499"/>
    </row>
    <row r="5" spans="1:14" ht="13.2" customHeight="1" x14ac:dyDescent="0.25">
      <c r="A5" s="145" t="str">
        <f>Довідник!$A$56</f>
        <v>Кефір</v>
      </c>
      <c r="B5" s="146">
        <f>Собівартість!B5</f>
        <v>43769.475728155339</v>
      </c>
      <c r="C5" s="146">
        <f>Реалізація!$B12</f>
        <v>1225545.3203883495</v>
      </c>
      <c r="D5" s="149">
        <f>Собівартість!C5</f>
        <v>1221783.3569758823</v>
      </c>
      <c r="E5" s="147">
        <f t="shared" si="0"/>
        <v>3761.9634124671575</v>
      </c>
      <c r="F5" s="148">
        <f t="shared" si="1"/>
        <v>3.0790756732671861E-3</v>
      </c>
      <c r="I5" s="427"/>
      <c r="J5" s="427"/>
      <c r="K5" s="427"/>
      <c r="L5" s="427"/>
      <c r="M5" s="427"/>
      <c r="N5" s="427"/>
    </row>
    <row r="6" spans="1:14" ht="13.2" customHeight="1" x14ac:dyDescent="0.25">
      <c r="A6" s="145" t="str">
        <f>Довідник!$A$57</f>
        <v>Сметана</v>
      </c>
      <c r="B6" s="146">
        <f>Собівартість!B6</f>
        <v>2146.7885714285717</v>
      </c>
      <c r="C6" s="146">
        <f>Реалізація!$B15</f>
        <v>203944.9142857143</v>
      </c>
      <c r="D6" s="149">
        <f>Собівартість!C6</f>
        <v>282180.69054638449</v>
      </c>
      <c r="E6" s="147">
        <f t="shared" si="0"/>
        <v>-78235.776260670187</v>
      </c>
      <c r="F6" s="148">
        <f t="shared" si="1"/>
        <v>-0.27725418103266669</v>
      </c>
      <c r="I6" s="514" t="s">
        <v>411</v>
      </c>
      <c r="J6" s="514"/>
      <c r="K6" s="514"/>
      <c r="L6" s="514"/>
      <c r="M6" s="514"/>
      <c r="N6" s="514"/>
    </row>
    <row r="7" spans="1:14" ht="13.2" customHeight="1" x14ac:dyDescent="0.25">
      <c r="A7" s="145" t="str">
        <f>Довідник!$A$58</f>
        <v>Сир м'який</v>
      </c>
      <c r="B7" s="146">
        <f>Собівартість!B7</f>
        <v>7513.76</v>
      </c>
      <c r="C7" s="146">
        <f>Реалізація!$B18</f>
        <v>1202201.5999999999</v>
      </c>
      <c r="D7" s="149">
        <f>Собівартість!C7</f>
        <v>1193827.8590860558</v>
      </c>
      <c r="E7" s="147">
        <f t="shared" si="0"/>
        <v>8373.7409139440861</v>
      </c>
      <c r="F7" s="148">
        <f t="shared" si="1"/>
        <v>7.0141945928072647E-3</v>
      </c>
      <c r="I7" s="514"/>
      <c r="J7" s="514"/>
      <c r="K7" s="514"/>
      <c r="L7" s="514"/>
      <c r="M7" s="514"/>
      <c r="N7" s="514"/>
    </row>
    <row r="8" spans="1:14" ht="13.8" customHeight="1" thickBot="1" x14ac:dyDescent="0.3">
      <c r="A8" s="150" t="str">
        <f>Довідник!$A$61</f>
        <v>Сир Рікотта</v>
      </c>
      <c r="B8" s="146">
        <f>Собівартість!B8</f>
        <v>2304.2544710124826</v>
      </c>
      <c r="C8" s="146">
        <f>Реалізація!$B21</f>
        <v>460850.89420249651</v>
      </c>
      <c r="D8" s="149">
        <f>Собівартість!C8</f>
        <v>307530.2542794387</v>
      </c>
      <c r="E8" s="147">
        <f t="shared" si="0"/>
        <v>153320.63992305781</v>
      </c>
      <c r="F8" s="148">
        <f t="shared" si="1"/>
        <v>0.49855465532097648</v>
      </c>
      <c r="I8" s="514"/>
      <c r="J8" s="514"/>
      <c r="K8" s="514"/>
      <c r="L8" s="514"/>
      <c r="M8" s="514"/>
      <c r="N8" s="514"/>
    </row>
    <row r="9" spans="1:14" ht="13.8" customHeight="1" thickBot="1" x14ac:dyDescent="0.3">
      <c r="A9" s="151" t="s">
        <v>63</v>
      </c>
      <c r="B9" s="152" t="s">
        <v>358</v>
      </c>
      <c r="C9" s="152">
        <f>SUM(C3:C8)</f>
        <v>4179533.3422098937</v>
      </c>
      <c r="D9" s="152">
        <f>SUM(D3:D8)</f>
        <v>4166815.4443554035</v>
      </c>
      <c r="E9" s="153">
        <f>SUM(E3:E8)</f>
        <v>12717.897854489944</v>
      </c>
      <c r="F9" s="154">
        <f>E9/D9</f>
        <v>3.052186501736789E-3</v>
      </c>
      <c r="I9" s="514"/>
      <c r="J9" s="514"/>
      <c r="K9" s="514"/>
      <c r="L9" s="514"/>
      <c r="M9" s="514"/>
      <c r="N9" s="514"/>
    </row>
    <row r="10" spans="1:14" ht="13.2" customHeight="1" x14ac:dyDescent="0.25">
      <c r="A10" s="155"/>
      <c r="B10" s="156"/>
      <c r="C10" s="156"/>
      <c r="D10" s="156"/>
      <c r="E10" s="157"/>
      <c r="F10" s="158"/>
      <c r="I10" s="514"/>
      <c r="J10" s="514"/>
      <c r="K10" s="514"/>
      <c r="L10" s="514"/>
      <c r="M10" s="514"/>
      <c r="N10" s="514"/>
    </row>
    <row r="11" spans="1:14" ht="13.2" customHeight="1" x14ac:dyDescent="0.25">
      <c r="I11" s="514"/>
      <c r="J11" s="514"/>
      <c r="K11" s="514"/>
      <c r="L11" s="514"/>
      <c r="M11" s="514"/>
      <c r="N11" s="514"/>
    </row>
    <row r="12" spans="1:14" ht="13.8" customHeight="1" thickBot="1" x14ac:dyDescent="0.3">
      <c r="A12" s="532" t="s">
        <v>353</v>
      </c>
      <c r="B12" s="532"/>
      <c r="C12" s="532"/>
      <c r="D12" s="532"/>
      <c r="E12" s="532"/>
      <c r="F12" s="532"/>
      <c r="I12" s="514"/>
      <c r="J12" s="514"/>
      <c r="K12" s="514"/>
      <c r="L12" s="514"/>
      <c r="M12" s="514"/>
      <c r="N12" s="514"/>
    </row>
    <row r="13" spans="1:14" s="144" customFormat="1" ht="53.4" thickBot="1" x14ac:dyDescent="0.35">
      <c r="A13" s="140" t="s">
        <v>348</v>
      </c>
      <c r="B13" s="141" t="s">
        <v>354</v>
      </c>
      <c r="C13" s="141" t="s">
        <v>355</v>
      </c>
      <c r="D13" s="141" t="s">
        <v>356</v>
      </c>
      <c r="E13" s="142" t="s">
        <v>357</v>
      </c>
      <c r="F13" s="143" t="s">
        <v>352</v>
      </c>
      <c r="I13" s="514"/>
      <c r="J13" s="514"/>
      <c r="K13" s="514"/>
      <c r="L13" s="514"/>
      <c r="M13" s="514"/>
      <c r="N13" s="514"/>
    </row>
    <row r="14" spans="1:14" x14ac:dyDescent="0.25">
      <c r="A14" s="145" t="str">
        <f>Довідник!$A$54</f>
        <v>Молоко питне</v>
      </c>
      <c r="B14" s="146">
        <f>Собівартість!B13</f>
        <v>33443.040000000001</v>
      </c>
      <c r="C14" s="146">
        <f>Реалізація!$C6</f>
        <v>802632.96000000008</v>
      </c>
      <c r="D14" s="147">
        <f>Собівартість!C13</f>
        <v>630714.87948576279</v>
      </c>
      <c r="E14" s="147">
        <f t="shared" ref="E14:E19" si="2">C14-D14</f>
        <v>171918.08051423728</v>
      </c>
      <c r="F14" s="148">
        <f>E14/D14</f>
        <v>0.27257654148639443</v>
      </c>
      <c r="I14" s="514"/>
      <c r="J14" s="514"/>
      <c r="K14" s="514"/>
      <c r="L14" s="514"/>
      <c r="M14" s="514"/>
      <c r="N14" s="514"/>
    </row>
    <row r="15" spans="1:14" x14ac:dyDescent="0.25">
      <c r="A15" s="145" t="str">
        <f>Довідник!$A$55</f>
        <v>Сир кисломолочний</v>
      </c>
      <c r="B15" s="146">
        <f>Собівартість!B14</f>
        <v>11147.679999999998</v>
      </c>
      <c r="C15" s="146">
        <f>Реалізація!$C9</f>
        <v>1616413.5999999999</v>
      </c>
      <c r="D15" s="149">
        <f>Собівартість!C14</f>
        <v>1440156.0423799392</v>
      </c>
      <c r="E15" s="147">
        <f t="shared" si="2"/>
        <v>176257.55762006063</v>
      </c>
      <c r="F15" s="148">
        <f t="shared" ref="F15:F19" si="3">E15/D15</f>
        <v>0.1223878193982265</v>
      </c>
      <c r="I15" s="514"/>
      <c r="J15" s="514"/>
      <c r="K15" s="514"/>
      <c r="L15" s="514"/>
      <c r="M15" s="514"/>
      <c r="N15" s="514"/>
    </row>
    <row r="16" spans="1:14" x14ac:dyDescent="0.25">
      <c r="A16" s="145" t="str">
        <f>Довідник!$A$56</f>
        <v>Кефір</v>
      </c>
      <c r="B16" s="146">
        <f>Собівартість!B15</f>
        <v>97406.91262135921</v>
      </c>
      <c r="C16" s="146">
        <f>Реалізація!$C12</f>
        <v>2727393.5533980578</v>
      </c>
      <c r="D16" s="149">
        <f>Собівартість!C15</f>
        <v>2126612.308910456</v>
      </c>
      <c r="E16" s="147">
        <f t="shared" si="2"/>
        <v>600781.2444876018</v>
      </c>
      <c r="F16" s="148">
        <f t="shared" si="3"/>
        <v>0.28250623866435004</v>
      </c>
    </row>
    <row r="17" spans="1:6" x14ac:dyDescent="0.25">
      <c r="A17" s="145" t="str">
        <f>Довідник!$A$57</f>
        <v>Сметана</v>
      </c>
      <c r="B17" s="146">
        <f>Собівартість!B16</f>
        <v>4777.5771428571434</v>
      </c>
      <c r="C17" s="146">
        <f>Реалізація!$C15</f>
        <v>453869.8285714286</v>
      </c>
      <c r="D17" s="149">
        <f>Собівартість!C16</f>
        <v>546310.72249683016</v>
      </c>
      <c r="E17" s="147">
        <f t="shared" si="2"/>
        <v>-92440.893925401557</v>
      </c>
      <c r="F17" s="148">
        <f t="shared" si="3"/>
        <v>-0.16920937136821057</v>
      </c>
    </row>
    <row r="18" spans="1:6" x14ac:dyDescent="0.25">
      <c r="A18" s="145" t="str">
        <f>Довідник!$A$58</f>
        <v>Сир м'який</v>
      </c>
      <c r="B18" s="146">
        <f>Собівартість!B17</f>
        <v>16721.52</v>
      </c>
      <c r="C18" s="146">
        <f>Реалізація!$C18</f>
        <v>2675443.2000000002</v>
      </c>
      <c r="D18" s="149">
        <f>Собівартість!C17</f>
        <v>2077612.7866592095</v>
      </c>
      <c r="E18" s="147">
        <f t="shared" si="2"/>
        <v>597830.41334079066</v>
      </c>
      <c r="F18" s="148">
        <f t="shared" si="3"/>
        <v>0.28774871678668229</v>
      </c>
    </row>
    <row r="19" spans="1:6" ht="13.8" thickBot="1" x14ac:dyDescent="0.3">
      <c r="A19" s="150" t="str">
        <f>Довідник!$A$61</f>
        <v>Сир Рікотта</v>
      </c>
      <c r="B19" s="146">
        <f>Собівартість!B18</f>
        <v>5128.01010707351</v>
      </c>
      <c r="C19" s="146">
        <f>Реалізація!$C21</f>
        <v>1025602.0214147018</v>
      </c>
      <c r="D19" s="149">
        <f>Собівартість!C18</f>
        <v>423521.34644603089</v>
      </c>
      <c r="E19" s="147">
        <f t="shared" si="2"/>
        <v>602080.67496867094</v>
      </c>
      <c r="F19" s="148">
        <f t="shared" si="3"/>
        <v>1.4216064432667121</v>
      </c>
    </row>
    <row r="20" spans="1:6" ht="13.8" thickBot="1" x14ac:dyDescent="0.3">
      <c r="A20" s="151" t="s">
        <v>63</v>
      </c>
      <c r="B20" s="152" t="s">
        <v>358</v>
      </c>
      <c r="C20" s="152">
        <f>SUM(C14:C19)</f>
        <v>9301355.163384188</v>
      </c>
      <c r="D20" s="152">
        <f>SUM(D14:D19)</f>
        <v>7244928.0863782289</v>
      </c>
      <c r="E20" s="153">
        <f>SUM(E14:E19)</f>
        <v>2056427.0770059596</v>
      </c>
      <c r="F20" s="154">
        <f>E20/D20</f>
        <v>0.28384368381411723</v>
      </c>
    </row>
    <row r="21" spans="1:6" x14ac:dyDescent="0.25">
      <c r="A21" s="155"/>
      <c r="B21" s="156"/>
      <c r="C21" s="156"/>
      <c r="D21" s="156"/>
      <c r="E21" s="157"/>
      <c r="F21" s="158"/>
    </row>
    <row r="23" spans="1:6" ht="13.8" thickBot="1" x14ac:dyDescent="0.3">
      <c r="A23" s="532" t="s">
        <v>353</v>
      </c>
      <c r="B23" s="532"/>
      <c r="C23" s="532"/>
      <c r="D23" s="532"/>
      <c r="E23" s="532"/>
      <c r="F23" s="532"/>
    </row>
    <row r="24" spans="1:6" s="144" customFormat="1" ht="53.4" thickBot="1" x14ac:dyDescent="0.35">
      <c r="A24" s="140" t="s">
        <v>348</v>
      </c>
      <c r="B24" s="141" t="s">
        <v>354</v>
      </c>
      <c r="C24" s="141" t="s">
        <v>355</v>
      </c>
      <c r="D24" s="141" t="s">
        <v>356</v>
      </c>
      <c r="E24" s="142" t="s">
        <v>357</v>
      </c>
      <c r="F24" s="143" t="s">
        <v>352</v>
      </c>
    </row>
    <row r="25" spans="1:6" x14ac:dyDescent="0.25">
      <c r="A25" s="145" t="str">
        <f>Довідник!$A$54</f>
        <v>Молоко питне</v>
      </c>
      <c r="B25" s="146">
        <f>Собівартість!$B23</f>
        <v>48073.520000000004</v>
      </c>
      <c r="C25" s="146">
        <f>Реалізація!D6</f>
        <v>1153764.48</v>
      </c>
      <c r="D25" s="147">
        <f>Собівартість!C23</f>
        <v>884431.53182706051</v>
      </c>
      <c r="E25" s="147">
        <f t="shared" ref="E25:E30" si="4">C25-D25</f>
        <v>269332.94817293948</v>
      </c>
      <c r="F25" s="148">
        <f>E25/D25</f>
        <v>0.3045266235776905</v>
      </c>
    </row>
    <row r="26" spans="1:6" x14ac:dyDescent="0.25">
      <c r="A26" s="145" t="str">
        <f>Довідник!$A$55</f>
        <v>Сир кисломолочний</v>
      </c>
      <c r="B26" s="146">
        <f>Собівартість!B24</f>
        <v>16024.506666666668</v>
      </c>
      <c r="C26" s="146">
        <f>Реалізація!D9</f>
        <v>2323553.4666666668</v>
      </c>
      <c r="D26" s="149">
        <f>Собівартість!C24</f>
        <v>2024794.7849817192</v>
      </c>
      <c r="E26" s="147">
        <f t="shared" si="4"/>
        <v>298758.68168494757</v>
      </c>
      <c r="F26" s="148">
        <f t="shared" ref="F26:F30" si="5">E26/D26</f>
        <v>0.14755010428755372</v>
      </c>
    </row>
    <row r="27" spans="1:6" x14ac:dyDescent="0.25">
      <c r="A27" s="145" t="str">
        <f>Довідник!$A$56</f>
        <v>Кефір</v>
      </c>
      <c r="B27" s="146">
        <f>Собівартість!B25</f>
        <v>140019.96116504856</v>
      </c>
      <c r="C27" s="146">
        <f>Реалізація!D12</f>
        <v>3920558.9126213589</v>
      </c>
      <c r="D27" s="149">
        <f>Собівартість!C25</f>
        <v>2962169.5763412742</v>
      </c>
      <c r="E27" s="147">
        <f t="shared" si="4"/>
        <v>958389.33628008468</v>
      </c>
      <c r="F27" s="148">
        <f t="shared" si="5"/>
        <v>0.32354303546113655</v>
      </c>
    </row>
    <row r="28" spans="1:6" x14ac:dyDescent="0.25">
      <c r="A28" s="145" t="str">
        <f>Довідник!$A$57</f>
        <v>Сметана</v>
      </c>
      <c r="B28" s="146">
        <f>Собівартість!B26</f>
        <v>6867.6457142857143</v>
      </c>
      <c r="C28" s="146">
        <f>Реалізація!D15</f>
        <v>652426.34285714291</v>
      </c>
      <c r="D28" s="149">
        <f>Собівартість!C26</f>
        <v>793849.31597220676</v>
      </c>
      <c r="E28" s="147">
        <f t="shared" si="4"/>
        <v>-141422.97311506385</v>
      </c>
      <c r="F28" s="148">
        <f t="shared" si="5"/>
        <v>-0.17814838442213279</v>
      </c>
    </row>
    <row r="29" spans="1:6" x14ac:dyDescent="0.25">
      <c r="A29" s="145" t="str">
        <f>Довідник!$A$58</f>
        <v>Сир м'який</v>
      </c>
      <c r="B29" s="146">
        <f>Собівартість!B27</f>
        <v>24036.760000000002</v>
      </c>
      <c r="C29" s="146">
        <f>Реалізація!D18</f>
        <v>3845881.6000000006</v>
      </c>
      <c r="D29" s="149">
        <f>Собівартість!C27</f>
        <v>2896313.9005435351</v>
      </c>
      <c r="E29" s="147">
        <f t="shared" si="4"/>
        <v>949567.69945646543</v>
      </c>
      <c r="F29" s="148">
        <f t="shared" si="5"/>
        <v>0.32785386255207538</v>
      </c>
    </row>
    <row r="30" spans="1:6" ht="13.8" thickBot="1" x14ac:dyDescent="0.3">
      <c r="A30" s="150" t="str">
        <f>Довідник!$A$61</f>
        <v>Сир Рікотта</v>
      </c>
      <c r="B30" s="146">
        <f>Собівартість!B28</f>
        <v>7371.3841936199733</v>
      </c>
      <c r="C30" s="146">
        <f>Реалізація!D21</f>
        <v>1474276.8387239946</v>
      </c>
      <c r="D30" s="149">
        <f>Собівартість!C28</f>
        <v>518385.10587713495</v>
      </c>
      <c r="E30" s="147">
        <f t="shared" si="4"/>
        <v>955891.73284685961</v>
      </c>
      <c r="F30" s="148">
        <f t="shared" si="5"/>
        <v>1.8439799330836104</v>
      </c>
    </row>
    <row r="31" spans="1:6" ht="13.8" thickBot="1" x14ac:dyDescent="0.3">
      <c r="A31" s="151" t="s">
        <v>63</v>
      </c>
      <c r="B31" s="152" t="s">
        <v>358</v>
      </c>
      <c r="C31" s="152">
        <f>SUM(C25:C30)</f>
        <v>13370461.640869163</v>
      </c>
      <c r="D31" s="152">
        <f>SUM(D25:D30)</f>
        <v>10079944.215542931</v>
      </c>
      <c r="E31" s="153">
        <f>SUM(E25:E30)</f>
        <v>3290517.4253262328</v>
      </c>
      <c r="F31" s="154">
        <f>E31/D31</f>
        <v>0.32644202735292593</v>
      </c>
    </row>
  </sheetData>
  <sheetProtection algorithmName="SHA-512" hashValue="lW1Yu7PwjbseXIanB1CV7KH8RDdL9qRB6eYfpKHqZR0WcNWM/K0qRa+gF39KkCbHJauamgkhZyrJPMHmQ4xarw==" saltValue="4RSjfqT3gs6qGEg84WMU/g==" spinCount="100000" sheet="1" objects="1" scenarios="1"/>
  <mergeCells count="6">
    <mergeCell ref="A1:F1"/>
    <mergeCell ref="A12:F12"/>
    <mergeCell ref="A23:F23"/>
    <mergeCell ref="I2:J2"/>
    <mergeCell ref="I3:N4"/>
    <mergeCell ref="I6:N15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W32"/>
  <sheetViews>
    <sheetView workbookViewId="0">
      <selection activeCell="Q22" sqref="Q22"/>
    </sheetView>
  </sheetViews>
  <sheetFormatPr defaultRowHeight="13.2" x14ac:dyDescent="0.25"/>
  <cols>
    <col min="1" max="1" width="36.6640625" style="22" customWidth="1"/>
    <col min="2" max="2" width="9.109375" style="22" hidden="1" customWidth="1"/>
    <col min="3" max="4" width="8.6640625" style="22" bestFit="1" customWidth="1"/>
    <col min="5" max="5" width="9.109375" style="22" customWidth="1"/>
    <col min="6" max="6" width="9" style="22" bestFit="1" customWidth="1"/>
    <col min="7" max="14" width="10" style="22" bestFit="1" customWidth="1"/>
    <col min="15" max="15" width="10.5546875" style="23" customWidth="1"/>
    <col min="16" max="256" width="9.109375" style="22"/>
    <col min="257" max="257" width="26.44140625" style="22" customWidth="1"/>
    <col min="258" max="258" width="0" style="22" hidden="1" customWidth="1"/>
    <col min="259" max="260" width="8.6640625" style="22" bestFit="1" customWidth="1"/>
    <col min="261" max="261" width="9.109375" style="22" customWidth="1"/>
    <col min="262" max="262" width="9" style="22" bestFit="1" customWidth="1"/>
    <col min="263" max="270" width="10" style="22" bestFit="1" customWidth="1"/>
    <col min="271" max="271" width="10.5546875" style="22" customWidth="1"/>
    <col min="272" max="512" width="9.109375" style="22"/>
    <col min="513" max="513" width="26.44140625" style="22" customWidth="1"/>
    <col min="514" max="514" width="0" style="22" hidden="1" customWidth="1"/>
    <col min="515" max="516" width="8.6640625" style="22" bestFit="1" customWidth="1"/>
    <col min="517" max="517" width="9.109375" style="22" customWidth="1"/>
    <col min="518" max="518" width="9" style="22" bestFit="1" customWidth="1"/>
    <col min="519" max="526" width="10" style="22" bestFit="1" customWidth="1"/>
    <col min="527" max="527" width="10.5546875" style="22" customWidth="1"/>
    <col min="528" max="768" width="9.109375" style="22"/>
    <col min="769" max="769" width="26.44140625" style="22" customWidth="1"/>
    <col min="770" max="770" width="0" style="22" hidden="1" customWidth="1"/>
    <col min="771" max="772" width="8.6640625" style="22" bestFit="1" customWidth="1"/>
    <col min="773" max="773" width="9.109375" style="22" customWidth="1"/>
    <col min="774" max="774" width="9" style="22" bestFit="1" customWidth="1"/>
    <col min="775" max="782" width="10" style="22" bestFit="1" customWidth="1"/>
    <col min="783" max="783" width="10.5546875" style="22" customWidth="1"/>
    <col min="784" max="1024" width="9.109375" style="22"/>
    <col min="1025" max="1025" width="26.44140625" style="22" customWidth="1"/>
    <col min="1026" max="1026" width="0" style="22" hidden="1" customWidth="1"/>
    <col min="1027" max="1028" width="8.6640625" style="22" bestFit="1" customWidth="1"/>
    <col min="1029" max="1029" width="9.109375" style="22" customWidth="1"/>
    <col min="1030" max="1030" width="9" style="22" bestFit="1" customWidth="1"/>
    <col min="1031" max="1038" width="10" style="22" bestFit="1" customWidth="1"/>
    <col min="1039" max="1039" width="10.5546875" style="22" customWidth="1"/>
    <col min="1040" max="1280" width="9.109375" style="22"/>
    <col min="1281" max="1281" width="26.44140625" style="22" customWidth="1"/>
    <col min="1282" max="1282" width="0" style="22" hidden="1" customWidth="1"/>
    <col min="1283" max="1284" width="8.6640625" style="22" bestFit="1" customWidth="1"/>
    <col min="1285" max="1285" width="9.109375" style="22" customWidth="1"/>
    <col min="1286" max="1286" width="9" style="22" bestFit="1" customWidth="1"/>
    <col min="1287" max="1294" width="10" style="22" bestFit="1" customWidth="1"/>
    <col min="1295" max="1295" width="10.5546875" style="22" customWidth="1"/>
    <col min="1296" max="1536" width="9.109375" style="22"/>
    <col min="1537" max="1537" width="26.44140625" style="22" customWidth="1"/>
    <col min="1538" max="1538" width="0" style="22" hidden="1" customWidth="1"/>
    <col min="1539" max="1540" width="8.6640625" style="22" bestFit="1" customWidth="1"/>
    <col min="1541" max="1541" width="9.109375" style="22" customWidth="1"/>
    <col min="1542" max="1542" width="9" style="22" bestFit="1" customWidth="1"/>
    <col min="1543" max="1550" width="10" style="22" bestFit="1" customWidth="1"/>
    <col min="1551" max="1551" width="10.5546875" style="22" customWidth="1"/>
    <col min="1552" max="1792" width="9.109375" style="22"/>
    <col min="1793" max="1793" width="26.44140625" style="22" customWidth="1"/>
    <col min="1794" max="1794" width="0" style="22" hidden="1" customWidth="1"/>
    <col min="1795" max="1796" width="8.6640625" style="22" bestFit="1" customWidth="1"/>
    <col min="1797" max="1797" width="9.109375" style="22" customWidth="1"/>
    <col min="1798" max="1798" width="9" style="22" bestFit="1" customWidth="1"/>
    <col min="1799" max="1806" width="10" style="22" bestFit="1" customWidth="1"/>
    <col min="1807" max="1807" width="10.5546875" style="22" customWidth="1"/>
    <col min="1808" max="2048" width="9.109375" style="22"/>
    <col min="2049" max="2049" width="26.44140625" style="22" customWidth="1"/>
    <col min="2050" max="2050" width="0" style="22" hidden="1" customWidth="1"/>
    <col min="2051" max="2052" width="8.6640625" style="22" bestFit="1" customWidth="1"/>
    <col min="2053" max="2053" width="9.109375" style="22" customWidth="1"/>
    <col min="2054" max="2054" width="9" style="22" bestFit="1" customWidth="1"/>
    <col min="2055" max="2062" width="10" style="22" bestFit="1" customWidth="1"/>
    <col min="2063" max="2063" width="10.5546875" style="22" customWidth="1"/>
    <col min="2064" max="2304" width="9.109375" style="22"/>
    <col min="2305" max="2305" width="26.44140625" style="22" customWidth="1"/>
    <col min="2306" max="2306" width="0" style="22" hidden="1" customWidth="1"/>
    <col min="2307" max="2308" width="8.6640625" style="22" bestFit="1" customWidth="1"/>
    <col min="2309" max="2309" width="9.109375" style="22" customWidth="1"/>
    <col min="2310" max="2310" width="9" style="22" bestFit="1" customWidth="1"/>
    <col min="2311" max="2318" width="10" style="22" bestFit="1" customWidth="1"/>
    <col min="2319" max="2319" width="10.5546875" style="22" customWidth="1"/>
    <col min="2320" max="2560" width="9.109375" style="22"/>
    <col min="2561" max="2561" width="26.44140625" style="22" customWidth="1"/>
    <col min="2562" max="2562" width="0" style="22" hidden="1" customWidth="1"/>
    <col min="2563" max="2564" width="8.6640625" style="22" bestFit="1" customWidth="1"/>
    <col min="2565" max="2565" width="9.109375" style="22" customWidth="1"/>
    <col min="2566" max="2566" width="9" style="22" bestFit="1" customWidth="1"/>
    <col min="2567" max="2574" width="10" style="22" bestFit="1" customWidth="1"/>
    <col min="2575" max="2575" width="10.5546875" style="22" customWidth="1"/>
    <col min="2576" max="2816" width="9.109375" style="22"/>
    <col min="2817" max="2817" width="26.44140625" style="22" customWidth="1"/>
    <col min="2818" max="2818" width="0" style="22" hidden="1" customWidth="1"/>
    <col min="2819" max="2820" width="8.6640625" style="22" bestFit="1" customWidth="1"/>
    <col min="2821" max="2821" width="9.109375" style="22" customWidth="1"/>
    <col min="2822" max="2822" width="9" style="22" bestFit="1" customWidth="1"/>
    <col min="2823" max="2830" width="10" style="22" bestFit="1" customWidth="1"/>
    <col min="2831" max="2831" width="10.5546875" style="22" customWidth="1"/>
    <col min="2832" max="3072" width="9.109375" style="22"/>
    <col min="3073" max="3073" width="26.44140625" style="22" customWidth="1"/>
    <col min="3074" max="3074" width="0" style="22" hidden="1" customWidth="1"/>
    <col min="3075" max="3076" width="8.6640625" style="22" bestFit="1" customWidth="1"/>
    <col min="3077" max="3077" width="9.109375" style="22" customWidth="1"/>
    <col min="3078" max="3078" width="9" style="22" bestFit="1" customWidth="1"/>
    <col min="3079" max="3086" width="10" style="22" bestFit="1" customWidth="1"/>
    <col min="3087" max="3087" width="10.5546875" style="22" customWidth="1"/>
    <col min="3088" max="3328" width="9.109375" style="22"/>
    <col min="3329" max="3329" width="26.44140625" style="22" customWidth="1"/>
    <col min="3330" max="3330" width="0" style="22" hidden="1" customWidth="1"/>
    <col min="3331" max="3332" width="8.6640625" style="22" bestFit="1" customWidth="1"/>
    <col min="3333" max="3333" width="9.109375" style="22" customWidth="1"/>
    <col min="3334" max="3334" width="9" style="22" bestFit="1" customWidth="1"/>
    <col min="3335" max="3342" width="10" style="22" bestFit="1" customWidth="1"/>
    <col min="3343" max="3343" width="10.5546875" style="22" customWidth="1"/>
    <col min="3344" max="3584" width="9.109375" style="22"/>
    <col min="3585" max="3585" width="26.44140625" style="22" customWidth="1"/>
    <col min="3586" max="3586" width="0" style="22" hidden="1" customWidth="1"/>
    <col min="3587" max="3588" width="8.6640625" style="22" bestFit="1" customWidth="1"/>
    <col min="3589" max="3589" width="9.109375" style="22" customWidth="1"/>
    <col min="3590" max="3590" width="9" style="22" bestFit="1" customWidth="1"/>
    <col min="3591" max="3598" width="10" style="22" bestFit="1" customWidth="1"/>
    <col min="3599" max="3599" width="10.5546875" style="22" customWidth="1"/>
    <col min="3600" max="3840" width="9.109375" style="22"/>
    <col min="3841" max="3841" width="26.44140625" style="22" customWidth="1"/>
    <col min="3842" max="3842" width="0" style="22" hidden="1" customWidth="1"/>
    <col min="3843" max="3844" width="8.6640625" style="22" bestFit="1" customWidth="1"/>
    <col min="3845" max="3845" width="9.109375" style="22" customWidth="1"/>
    <col min="3846" max="3846" width="9" style="22" bestFit="1" customWidth="1"/>
    <col min="3847" max="3854" width="10" style="22" bestFit="1" customWidth="1"/>
    <col min="3855" max="3855" width="10.5546875" style="22" customWidth="1"/>
    <col min="3856" max="4096" width="9.109375" style="22"/>
    <col min="4097" max="4097" width="26.44140625" style="22" customWidth="1"/>
    <col min="4098" max="4098" width="0" style="22" hidden="1" customWidth="1"/>
    <col min="4099" max="4100" width="8.6640625" style="22" bestFit="1" customWidth="1"/>
    <col min="4101" max="4101" width="9.109375" style="22" customWidth="1"/>
    <col min="4102" max="4102" width="9" style="22" bestFit="1" customWidth="1"/>
    <col min="4103" max="4110" width="10" style="22" bestFit="1" customWidth="1"/>
    <col min="4111" max="4111" width="10.5546875" style="22" customWidth="1"/>
    <col min="4112" max="4352" width="9.109375" style="22"/>
    <col min="4353" max="4353" width="26.44140625" style="22" customWidth="1"/>
    <col min="4354" max="4354" width="0" style="22" hidden="1" customWidth="1"/>
    <col min="4355" max="4356" width="8.6640625" style="22" bestFit="1" customWidth="1"/>
    <col min="4357" max="4357" width="9.109375" style="22" customWidth="1"/>
    <col min="4358" max="4358" width="9" style="22" bestFit="1" customWidth="1"/>
    <col min="4359" max="4366" width="10" style="22" bestFit="1" customWidth="1"/>
    <col min="4367" max="4367" width="10.5546875" style="22" customWidth="1"/>
    <col min="4368" max="4608" width="9.109375" style="22"/>
    <col min="4609" max="4609" width="26.44140625" style="22" customWidth="1"/>
    <col min="4610" max="4610" width="0" style="22" hidden="1" customWidth="1"/>
    <col min="4611" max="4612" width="8.6640625" style="22" bestFit="1" customWidth="1"/>
    <col min="4613" max="4613" width="9.109375" style="22" customWidth="1"/>
    <col min="4614" max="4614" width="9" style="22" bestFit="1" customWidth="1"/>
    <col min="4615" max="4622" width="10" style="22" bestFit="1" customWidth="1"/>
    <col min="4623" max="4623" width="10.5546875" style="22" customWidth="1"/>
    <col min="4624" max="4864" width="9.109375" style="22"/>
    <col min="4865" max="4865" width="26.44140625" style="22" customWidth="1"/>
    <col min="4866" max="4866" width="0" style="22" hidden="1" customWidth="1"/>
    <col min="4867" max="4868" width="8.6640625" style="22" bestFit="1" customWidth="1"/>
    <col min="4869" max="4869" width="9.109375" style="22" customWidth="1"/>
    <col min="4870" max="4870" width="9" style="22" bestFit="1" customWidth="1"/>
    <col min="4871" max="4878" width="10" style="22" bestFit="1" customWidth="1"/>
    <col min="4879" max="4879" width="10.5546875" style="22" customWidth="1"/>
    <col min="4880" max="5120" width="9.109375" style="22"/>
    <col min="5121" max="5121" width="26.44140625" style="22" customWidth="1"/>
    <col min="5122" max="5122" width="0" style="22" hidden="1" customWidth="1"/>
    <col min="5123" max="5124" width="8.6640625" style="22" bestFit="1" customWidth="1"/>
    <col min="5125" max="5125" width="9.109375" style="22" customWidth="1"/>
    <col min="5126" max="5126" width="9" style="22" bestFit="1" customWidth="1"/>
    <col min="5127" max="5134" width="10" style="22" bestFit="1" customWidth="1"/>
    <col min="5135" max="5135" width="10.5546875" style="22" customWidth="1"/>
    <col min="5136" max="5376" width="9.109375" style="22"/>
    <col min="5377" max="5377" width="26.44140625" style="22" customWidth="1"/>
    <col min="5378" max="5378" width="0" style="22" hidden="1" customWidth="1"/>
    <col min="5379" max="5380" width="8.6640625" style="22" bestFit="1" customWidth="1"/>
    <col min="5381" max="5381" width="9.109375" style="22" customWidth="1"/>
    <col min="5382" max="5382" width="9" style="22" bestFit="1" customWidth="1"/>
    <col min="5383" max="5390" width="10" style="22" bestFit="1" customWidth="1"/>
    <col min="5391" max="5391" width="10.5546875" style="22" customWidth="1"/>
    <col min="5392" max="5632" width="9.109375" style="22"/>
    <col min="5633" max="5633" width="26.44140625" style="22" customWidth="1"/>
    <col min="5634" max="5634" width="0" style="22" hidden="1" customWidth="1"/>
    <col min="5635" max="5636" width="8.6640625" style="22" bestFit="1" customWidth="1"/>
    <col min="5637" max="5637" width="9.109375" style="22" customWidth="1"/>
    <col min="5638" max="5638" width="9" style="22" bestFit="1" customWidth="1"/>
    <col min="5639" max="5646" width="10" style="22" bestFit="1" customWidth="1"/>
    <col min="5647" max="5647" width="10.5546875" style="22" customWidth="1"/>
    <col min="5648" max="5888" width="9.109375" style="22"/>
    <col min="5889" max="5889" width="26.44140625" style="22" customWidth="1"/>
    <col min="5890" max="5890" width="0" style="22" hidden="1" customWidth="1"/>
    <col min="5891" max="5892" width="8.6640625" style="22" bestFit="1" customWidth="1"/>
    <col min="5893" max="5893" width="9.109375" style="22" customWidth="1"/>
    <col min="5894" max="5894" width="9" style="22" bestFit="1" customWidth="1"/>
    <col min="5895" max="5902" width="10" style="22" bestFit="1" customWidth="1"/>
    <col min="5903" max="5903" width="10.5546875" style="22" customWidth="1"/>
    <col min="5904" max="6144" width="9.109375" style="22"/>
    <col min="6145" max="6145" width="26.44140625" style="22" customWidth="1"/>
    <col min="6146" max="6146" width="0" style="22" hidden="1" customWidth="1"/>
    <col min="6147" max="6148" width="8.6640625" style="22" bestFit="1" customWidth="1"/>
    <col min="6149" max="6149" width="9.109375" style="22" customWidth="1"/>
    <col min="6150" max="6150" width="9" style="22" bestFit="1" customWidth="1"/>
    <col min="6151" max="6158" width="10" style="22" bestFit="1" customWidth="1"/>
    <col min="6159" max="6159" width="10.5546875" style="22" customWidth="1"/>
    <col min="6160" max="6400" width="9.109375" style="22"/>
    <col min="6401" max="6401" width="26.44140625" style="22" customWidth="1"/>
    <col min="6402" max="6402" width="0" style="22" hidden="1" customWidth="1"/>
    <col min="6403" max="6404" width="8.6640625" style="22" bestFit="1" customWidth="1"/>
    <col min="6405" max="6405" width="9.109375" style="22" customWidth="1"/>
    <col min="6406" max="6406" width="9" style="22" bestFit="1" customWidth="1"/>
    <col min="6407" max="6414" width="10" style="22" bestFit="1" customWidth="1"/>
    <col min="6415" max="6415" width="10.5546875" style="22" customWidth="1"/>
    <col min="6416" max="6656" width="9.109375" style="22"/>
    <col min="6657" max="6657" width="26.44140625" style="22" customWidth="1"/>
    <col min="6658" max="6658" width="0" style="22" hidden="1" customWidth="1"/>
    <col min="6659" max="6660" width="8.6640625" style="22" bestFit="1" customWidth="1"/>
    <col min="6661" max="6661" width="9.109375" style="22" customWidth="1"/>
    <col min="6662" max="6662" width="9" style="22" bestFit="1" customWidth="1"/>
    <col min="6663" max="6670" width="10" style="22" bestFit="1" customWidth="1"/>
    <col min="6671" max="6671" width="10.5546875" style="22" customWidth="1"/>
    <col min="6672" max="6912" width="9.109375" style="22"/>
    <col min="6913" max="6913" width="26.44140625" style="22" customWidth="1"/>
    <col min="6914" max="6914" width="0" style="22" hidden="1" customWidth="1"/>
    <col min="6915" max="6916" width="8.6640625" style="22" bestFit="1" customWidth="1"/>
    <col min="6917" max="6917" width="9.109375" style="22" customWidth="1"/>
    <col min="6918" max="6918" width="9" style="22" bestFit="1" customWidth="1"/>
    <col min="6919" max="6926" width="10" style="22" bestFit="1" customWidth="1"/>
    <col min="6927" max="6927" width="10.5546875" style="22" customWidth="1"/>
    <col min="6928" max="7168" width="9.109375" style="22"/>
    <col min="7169" max="7169" width="26.44140625" style="22" customWidth="1"/>
    <col min="7170" max="7170" width="0" style="22" hidden="1" customWidth="1"/>
    <col min="7171" max="7172" width="8.6640625" style="22" bestFit="1" customWidth="1"/>
    <col min="7173" max="7173" width="9.109375" style="22" customWidth="1"/>
    <col min="7174" max="7174" width="9" style="22" bestFit="1" customWidth="1"/>
    <col min="7175" max="7182" width="10" style="22" bestFit="1" customWidth="1"/>
    <col min="7183" max="7183" width="10.5546875" style="22" customWidth="1"/>
    <col min="7184" max="7424" width="9.109375" style="22"/>
    <col min="7425" max="7425" width="26.44140625" style="22" customWidth="1"/>
    <col min="7426" max="7426" width="0" style="22" hidden="1" customWidth="1"/>
    <col min="7427" max="7428" width="8.6640625" style="22" bestFit="1" customWidth="1"/>
    <col min="7429" max="7429" width="9.109375" style="22" customWidth="1"/>
    <col min="7430" max="7430" width="9" style="22" bestFit="1" customWidth="1"/>
    <col min="7431" max="7438" width="10" style="22" bestFit="1" customWidth="1"/>
    <col min="7439" max="7439" width="10.5546875" style="22" customWidth="1"/>
    <col min="7440" max="7680" width="9.109375" style="22"/>
    <col min="7681" max="7681" width="26.44140625" style="22" customWidth="1"/>
    <col min="7682" max="7682" width="0" style="22" hidden="1" customWidth="1"/>
    <col min="7683" max="7684" width="8.6640625" style="22" bestFit="1" customWidth="1"/>
    <col min="7685" max="7685" width="9.109375" style="22" customWidth="1"/>
    <col min="7686" max="7686" width="9" style="22" bestFit="1" customWidth="1"/>
    <col min="7687" max="7694" width="10" style="22" bestFit="1" customWidth="1"/>
    <col min="7695" max="7695" width="10.5546875" style="22" customWidth="1"/>
    <col min="7696" max="7936" width="9.109375" style="22"/>
    <col min="7937" max="7937" width="26.44140625" style="22" customWidth="1"/>
    <col min="7938" max="7938" width="0" style="22" hidden="1" customWidth="1"/>
    <col min="7939" max="7940" width="8.6640625" style="22" bestFit="1" customWidth="1"/>
    <col min="7941" max="7941" width="9.109375" style="22" customWidth="1"/>
    <col min="7942" max="7942" width="9" style="22" bestFit="1" customWidth="1"/>
    <col min="7943" max="7950" width="10" style="22" bestFit="1" customWidth="1"/>
    <col min="7951" max="7951" width="10.5546875" style="22" customWidth="1"/>
    <col min="7952" max="8192" width="9.109375" style="22"/>
    <col min="8193" max="8193" width="26.44140625" style="22" customWidth="1"/>
    <col min="8194" max="8194" width="0" style="22" hidden="1" customWidth="1"/>
    <col min="8195" max="8196" width="8.6640625" style="22" bestFit="1" customWidth="1"/>
    <col min="8197" max="8197" width="9.109375" style="22" customWidth="1"/>
    <col min="8198" max="8198" width="9" style="22" bestFit="1" customWidth="1"/>
    <col min="8199" max="8206" width="10" style="22" bestFit="1" customWidth="1"/>
    <col min="8207" max="8207" width="10.5546875" style="22" customWidth="1"/>
    <col min="8208" max="8448" width="9.109375" style="22"/>
    <col min="8449" max="8449" width="26.44140625" style="22" customWidth="1"/>
    <col min="8450" max="8450" width="0" style="22" hidden="1" customWidth="1"/>
    <col min="8451" max="8452" width="8.6640625" style="22" bestFit="1" customWidth="1"/>
    <col min="8453" max="8453" width="9.109375" style="22" customWidth="1"/>
    <col min="8454" max="8454" width="9" style="22" bestFit="1" customWidth="1"/>
    <col min="8455" max="8462" width="10" style="22" bestFit="1" customWidth="1"/>
    <col min="8463" max="8463" width="10.5546875" style="22" customWidth="1"/>
    <col min="8464" max="8704" width="9.109375" style="22"/>
    <col min="8705" max="8705" width="26.44140625" style="22" customWidth="1"/>
    <col min="8706" max="8706" width="0" style="22" hidden="1" customWidth="1"/>
    <col min="8707" max="8708" width="8.6640625" style="22" bestFit="1" customWidth="1"/>
    <col min="8709" max="8709" width="9.109375" style="22" customWidth="1"/>
    <col min="8710" max="8710" width="9" style="22" bestFit="1" customWidth="1"/>
    <col min="8711" max="8718" width="10" style="22" bestFit="1" customWidth="1"/>
    <col min="8719" max="8719" width="10.5546875" style="22" customWidth="1"/>
    <col min="8720" max="8960" width="9.109375" style="22"/>
    <col min="8961" max="8961" width="26.44140625" style="22" customWidth="1"/>
    <col min="8962" max="8962" width="0" style="22" hidden="1" customWidth="1"/>
    <col min="8963" max="8964" width="8.6640625" style="22" bestFit="1" customWidth="1"/>
    <col min="8965" max="8965" width="9.109375" style="22" customWidth="1"/>
    <col min="8966" max="8966" width="9" style="22" bestFit="1" customWidth="1"/>
    <col min="8967" max="8974" width="10" style="22" bestFit="1" customWidth="1"/>
    <col min="8975" max="8975" width="10.5546875" style="22" customWidth="1"/>
    <col min="8976" max="9216" width="9.109375" style="22"/>
    <col min="9217" max="9217" width="26.44140625" style="22" customWidth="1"/>
    <col min="9218" max="9218" width="0" style="22" hidden="1" customWidth="1"/>
    <col min="9219" max="9220" width="8.6640625" style="22" bestFit="1" customWidth="1"/>
    <col min="9221" max="9221" width="9.109375" style="22" customWidth="1"/>
    <col min="9222" max="9222" width="9" style="22" bestFit="1" customWidth="1"/>
    <col min="9223" max="9230" width="10" style="22" bestFit="1" customWidth="1"/>
    <col min="9231" max="9231" width="10.5546875" style="22" customWidth="1"/>
    <col min="9232" max="9472" width="9.109375" style="22"/>
    <col min="9473" max="9473" width="26.44140625" style="22" customWidth="1"/>
    <col min="9474" max="9474" width="0" style="22" hidden="1" customWidth="1"/>
    <col min="9475" max="9476" width="8.6640625" style="22" bestFit="1" customWidth="1"/>
    <col min="9477" max="9477" width="9.109375" style="22" customWidth="1"/>
    <col min="9478" max="9478" width="9" style="22" bestFit="1" customWidth="1"/>
    <col min="9479" max="9486" width="10" style="22" bestFit="1" customWidth="1"/>
    <col min="9487" max="9487" width="10.5546875" style="22" customWidth="1"/>
    <col min="9488" max="9728" width="9.109375" style="22"/>
    <col min="9729" max="9729" width="26.44140625" style="22" customWidth="1"/>
    <col min="9730" max="9730" width="0" style="22" hidden="1" customWidth="1"/>
    <col min="9731" max="9732" width="8.6640625" style="22" bestFit="1" customWidth="1"/>
    <col min="9733" max="9733" width="9.109375" style="22" customWidth="1"/>
    <col min="9734" max="9734" width="9" style="22" bestFit="1" customWidth="1"/>
    <col min="9735" max="9742" width="10" style="22" bestFit="1" customWidth="1"/>
    <col min="9743" max="9743" width="10.5546875" style="22" customWidth="1"/>
    <col min="9744" max="9984" width="9.109375" style="22"/>
    <col min="9985" max="9985" width="26.44140625" style="22" customWidth="1"/>
    <col min="9986" max="9986" width="0" style="22" hidden="1" customWidth="1"/>
    <col min="9987" max="9988" width="8.6640625" style="22" bestFit="1" customWidth="1"/>
    <col min="9989" max="9989" width="9.109375" style="22" customWidth="1"/>
    <col min="9990" max="9990" width="9" style="22" bestFit="1" customWidth="1"/>
    <col min="9991" max="9998" width="10" style="22" bestFit="1" customWidth="1"/>
    <col min="9999" max="9999" width="10.5546875" style="22" customWidth="1"/>
    <col min="10000" max="10240" width="9.109375" style="22"/>
    <col min="10241" max="10241" width="26.44140625" style="22" customWidth="1"/>
    <col min="10242" max="10242" width="0" style="22" hidden="1" customWidth="1"/>
    <col min="10243" max="10244" width="8.6640625" style="22" bestFit="1" customWidth="1"/>
    <col min="10245" max="10245" width="9.109375" style="22" customWidth="1"/>
    <col min="10246" max="10246" width="9" style="22" bestFit="1" customWidth="1"/>
    <col min="10247" max="10254" width="10" style="22" bestFit="1" customWidth="1"/>
    <col min="10255" max="10255" width="10.5546875" style="22" customWidth="1"/>
    <col min="10256" max="10496" width="9.109375" style="22"/>
    <col min="10497" max="10497" width="26.44140625" style="22" customWidth="1"/>
    <col min="10498" max="10498" width="0" style="22" hidden="1" customWidth="1"/>
    <col min="10499" max="10500" width="8.6640625" style="22" bestFit="1" customWidth="1"/>
    <col min="10501" max="10501" width="9.109375" style="22" customWidth="1"/>
    <col min="10502" max="10502" width="9" style="22" bestFit="1" customWidth="1"/>
    <col min="10503" max="10510" width="10" style="22" bestFit="1" customWidth="1"/>
    <col min="10511" max="10511" width="10.5546875" style="22" customWidth="1"/>
    <col min="10512" max="10752" width="9.109375" style="22"/>
    <col min="10753" max="10753" width="26.44140625" style="22" customWidth="1"/>
    <col min="10754" max="10754" width="0" style="22" hidden="1" customWidth="1"/>
    <col min="10755" max="10756" width="8.6640625" style="22" bestFit="1" customWidth="1"/>
    <col min="10757" max="10757" width="9.109375" style="22" customWidth="1"/>
    <col min="10758" max="10758" width="9" style="22" bestFit="1" customWidth="1"/>
    <col min="10759" max="10766" width="10" style="22" bestFit="1" customWidth="1"/>
    <col min="10767" max="10767" width="10.5546875" style="22" customWidth="1"/>
    <col min="10768" max="11008" width="9.109375" style="22"/>
    <col min="11009" max="11009" width="26.44140625" style="22" customWidth="1"/>
    <col min="11010" max="11010" width="0" style="22" hidden="1" customWidth="1"/>
    <col min="11011" max="11012" width="8.6640625" style="22" bestFit="1" customWidth="1"/>
    <col min="11013" max="11013" width="9.109375" style="22" customWidth="1"/>
    <col min="11014" max="11014" width="9" style="22" bestFit="1" customWidth="1"/>
    <col min="11015" max="11022" width="10" style="22" bestFit="1" customWidth="1"/>
    <col min="11023" max="11023" width="10.5546875" style="22" customWidth="1"/>
    <col min="11024" max="11264" width="9.109375" style="22"/>
    <col min="11265" max="11265" width="26.44140625" style="22" customWidth="1"/>
    <col min="11266" max="11266" width="0" style="22" hidden="1" customWidth="1"/>
    <col min="11267" max="11268" width="8.6640625" style="22" bestFit="1" customWidth="1"/>
    <col min="11269" max="11269" width="9.109375" style="22" customWidth="1"/>
    <col min="11270" max="11270" width="9" style="22" bestFit="1" customWidth="1"/>
    <col min="11271" max="11278" width="10" style="22" bestFit="1" customWidth="1"/>
    <col min="11279" max="11279" width="10.5546875" style="22" customWidth="1"/>
    <col min="11280" max="11520" width="9.109375" style="22"/>
    <col min="11521" max="11521" width="26.44140625" style="22" customWidth="1"/>
    <col min="11522" max="11522" width="0" style="22" hidden="1" customWidth="1"/>
    <col min="11523" max="11524" width="8.6640625" style="22" bestFit="1" customWidth="1"/>
    <col min="11525" max="11525" width="9.109375" style="22" customWidth="1"/>
    <col min="11526" max="11526" width="9" style="22" bestFit="1" customWidth="1"/>
    <col min="11527" max="11534" width="10" style="22" bestFit="1" customWidth="1"/>
    <col min="11535" max="11535" width="10.5546875" style="22" customWidth="1"/>
    <col min="11536" max="11776" width="9.109375" style="22"/>
    <col min="11777" max="11777" width="26.44140625" style="22" customWidth="1"/>
    <col min="11778" max="11778" width="0" style="22" hidden="1" customWidth="1"/>
    <col min="11779" max="11780" width="8.6640625" style="22" bestFit="1" customWidth="1"/>
    <col min="11781" max="11781" width="9.109375" style="22" customWidth="1"/>
    <col min="11782" max="11782" width="9" style="22" bestFit="1" customWidth="1"/>
    <col min="11783" max="11790" width="10" style="22" bestFit="1" customWidth="1"/>
    <col min="11791" max="11791" width="10.5546875" style="22" customWidth="1"/>
    <col min="11792" max="12032" width="9.109375" style="22"/>
    <col min="12033" max="12033" width="26.44140625" style="22" customWidth="1"/>
    <col min="12034" max="12034" width="0" style="22" hidden="1" customWidth="1"/>
    <col min="12035" max="12036" width="8.6640625" style="22" bestFit="1" customWidth="1"/>
    <col min="12037" max="12037" width="9.109375" style="22" customWidth="1"/>
    <col min="12038" max="12038" width="9" style="22" bestFit="1" customWidth="1"/>
    <col min="12039" max="12046" width="10" style="22" bestFit="1" customWidth="1"/>
    <col min="12047" max="12047" width="10.5546875" style="22" customWidth="1"/>
    <col min="12048" max="12288" width="9.109375" style="22"/>
    <col min="12289" max="12289" width="26.44140625" style="22" customWidth="1"/>
    <col min="12290" max="12290" width="0" style="22" hidden="1" customWidth="1"/>
    <col min="12291" max="12292" width="8.6640625" style="22" bestFit="1" customWidth="1"/>
    <col min="12293" max="12293" width="9.109375" style="22" customWidth="1"/>
    <col min="12294" max="12294" width="9" style="22" bestFit="1" customWidth="1"/>
    <col min="12295" max="12302" width="10" style="22" bestFit="1" customWidth="1"/>
    <col min="12303" max="12303" width="10.5546875" style="22" customWidth="1"/>
    <col min="12304" max="12544" width="9.109375" style="22"/>
    <col min="12545" max="12545" width="26.44140625" style="22" customWidth="1"/>
    <col min="12546" max="12546" width="0" style="22" hidden="1" customWidth="1"/>
    <col min="12547" max="12548" width="8.6640625" style="22" bestFit="1" customWidth="1"/>
    <col min="12549" max="12549" width="9.109375" style="22" customWidth="1"/>
    <col min="12550" max="12550" width="9" style="22" bestFit="1" customWidth="1"/>
    <col min="12551" max="12558" width="10" style="22" bestFit="1" customWidth="1"/>
    <col min="12559" max="12559" width="10.5546875" style="22" customWidth="1"/>
    <col min="12560" max="12800" width="9.109375" style="22"/>
    <col min="12801" max="12801" width="26.44140625" style="22" customWidth="1"/>
    <col min="12802" max="12802" width="0" style="22" hidden="1" customWidth="1"/>
    <col min="12803" max="12804" width="8.6640625" style="22" bestFit="1" customWidth="1"/>
    <col min="12805" max="12805" width="9.109375" style="22" customWidth="1"/>
    <col min="12806" max="12806" width="9" style="22" bestFit="1" customWidth="1"/>
    <col min="12807" max="12814" width="10" style="22" bestFit="1" customWidth="1"/>
    <col min="12815" max="12815" width="10.5546875" style="22" customWidth="1"/>
    <col min="12816" max="13056" width="9.109375" style="22"/>
    <col min="13057" max="13057" width="26.44140625" style="22" customWidth="1"/>
    <col min="13058" max="13058" width="0" style="22" hidden="1" customWidth="1"/>
    <col min="13059" max="13060" width="8.6640625" style="22" bestFit="1" customWidth="1"/>
    <col min="13061" max="13061" width="9.109375" style="22" customWidth="1"/>
    <col min="13062" max="13062" width="9" style="22" bestFit="1" customWidth="1"/>
    <col min="13063" max="13070" width="10" style="22" bestFit="1" customWidth="1"/>
    <col min="13071" max="13071" width="10.5546875" style="22" customWidth="1"/>
    <col min="13072" max="13312" width="9.109375" style="22"/>
    <col min="13313" max="13313" width="26.44140625" style="22" customWidth="1"/>
    <col min="13314" max="13314" width="0" style="22" hidden="1" customWidth="1"/>
    <col min="13315" max="13316" width="8.6640625" style="22" bestFit="1" customWidth="1"/>
    <col min="13317" max="13317" width="9.109375" style="22" customWidth="1"/>
    <col min="13318" max="13318" width="9" style="22" bestFit="1" customWidth="1"/>
    <col min="13319" max="13326" width="10" style="22" bestFit="1" customWidth="1"/>
    <col min="13327" max="13327" width="10.5546875" style="22" customWidth="1"/>
    <col min="13328" max="13568" width="9.109375" style="22"/>
    <col min="13569" max="13569" width="26.44140625" style="22" customWidth="1"/>
    <col min="13570" max="13570" width="0" style="22" hidden="1" customWidth="1"/>
    <col min="13571" max="13572" width="8.6640625" style="22" bestFit="1" customWidth="1"/>
    <col min="13573" max="13573" width="9.109375" style="22" customWidth="1"/>
    <col min="13574" max="13574" width="9" style="22" bestFit="1" customWidth="1"/>
    <col min="13575" max="13582" width="10" style="22" bestFit="1" customWidth="1"/>
    <col min="13583" max="13583" width="10.5546875" style="22" customWidth="1"/>
    <col min="13584" max="13824" width="9.109375" style="22"/>
    <col min="13825" max="13825" width="26.44140625" style="22" customWidth="1"/>
    <col min="13826" max="13826" width="0" style="22" hidden="1" customWidth="1"/>
    <col min="13827" max="13828" width="8.6640625" style="22" bestFit="1" customWidth="1"/>
    <col min="13829" max="13829" width="9.109375" style="22" customWidth="1"/>
    <col min="13830" max="13830" width="9" style="22" bestFit="1" customWidth="1"/>
    <col min="13831" max="13838" width="10" style="22" bestFit="1" customWidth="1"/>
    <col min="13839" max="13839" width="10.5546875" style="22" customWidth="1"/>
    <col min="13840" max="14080" width="9.109375" style="22"/>
    <col min="14081" max="14081" width="26.44140625" style="22" customWidth="1"/>
    <col min="14082" max="14082" width="0" style="22" hidden="1" customWidth="1"/>
    <col min="14083" max="14084" width="8.6640625" style="22" bestFit="1" customWidth="1"/>
    <col min="14085" max="14085" width="9.109375" style="22" customWidth="1"/>
    <col min="14086" max="14086" width="9" style="22" bestFit="1" customWidth="1"/>
    <col min="14087" max="14094" width="10" style="22" bestFit="1" customWidth="1"/>
    <col min="14095" max="14095" width="10.5546875" style="22" customWidth="1"/>
    <col min="14096" max="14336" width="9.109375" style="22"/>
    <col min="14337" max="14337" width="26.44140625" style="22" customWidth="1"/>
    <col min="14338" max="14338" width="0" style="22" hidden="1" customWidth="1"/>
    <col min="14339" max="14340" width="8.6640625" style="22" bestFit="1" customWidth="1"/>
    <col min="14341" max="14341" width="9.109375" style="22" customWidth="1"/>
    <col min="14342" max="14342" width="9" style="22" bestFit="1" customWidth="1"/>
    <col min="14343" max="14350" width="10" style="22" bestFit="1" customWidth="1"/>
    <col min="14351" max="14351" width="10.5546875" style="22" customWidth="1"/>
    <col min="14352" max="14592" width="9.109375" style="22"/>
    <col min="14593" max="14593" width="26.44140625" style="22" customWidth="1"/>
    <col min="14594" max="14594" width="0" style="22" hidden="1" customWidth="1"/>
    <col min="14595" max="14596" width="8.6640625" style="22" bestFit="1" customWidth="1"/>
    <col min="14597" max="14597" width="9.109375" style="22" customWidth="1"/>
    <col min="14598" max="14598" width="9" style="22" bestFit="1" customWidth="1"/>
    <col min="14599" max="14606" width="10" style="22" bestFit="1" customWidth="1"/>
    <col min="14607" max="14607" width="10.5546875" style="22" customWidth="1"/>
    <col min="14608" max="14848" width="9.109375" style="22"/>
    <col min="14849" max="14849" width="26.44140625" style="22" customWidth="1"/>
    <col min="14850" max="14850" width="0" style="22" hidden="1" customWidth="1"/>
    <col min="14851" max="14852" width="8.6640625" style="22" bestFit="1" customWidth="1"/>
    <col min="14853" max="14853" width="9.109375" style="22" customWidth="1"/>
    <col min="14854" max="14854" width="9" style="22" bestFit="1" customWidth="1"/>
    <col min="14855" max="14862" width="10" style="22" bestFit="1" customWidth="1"/>
    <col min="14863" max="14863" width="10.5546875" style="22" customWidth="1"/>
    <col min="14864" max="15104" width="9.109375" style="22"/>
    <col min="15105" max="15105" width="26.44140625" style="22" customWidth="1"/>
    <col min="15106" max="15106" width="0" style="22" hidden="1" customWidth="1"/>
    <col min="15107" max="15108" width="8.6640625" style="22" bestFit="1" customWidth="1"/>
    <col min="15109" max="15109" width="9.109375" style="22" customWidth="1"/>
    <col min="15110" max="15110" width="9" style="22" bestFit="1" customWidth="1"/>
    <col min="15111" max="15118" width="10" style="22" bestFit="1" customWidth="1"/>
    <col min="15119" max="15119" width="10.5546875" style="22" customWidth="1"/>
    <col min="15120" max="15360" width="9.109375" style="22"/>
    <col min="15361" max="15361" width="26.44140625" style="22" customWidth="1"/>
    <col min="15362" max="15362" width="0" style="22" hidden="1" customWidth="1"/>
    <col min="15363" max="15364" width="8.6640625" style="22" bestFit="1" customWidth="1"/>
    <col min="15365" max="15365" width="9.109375" style="22" customWidth="1"/>
    <col min="15366" max="15366" width="9" style="22" bestFit="1" customWidth="1"/>
    <col min="15367" max="15374" width="10" style="22" bestFit="1" customWidth="1"/>
    <col min="15375" max="15375" width="10.5546875" style="22" customWidth="1"/>
    <col min="15376" max="15616" width="9.109375" style="22"/>
    <col min="15617" max="15617" width="26.44140625" style="22" customWidth="1"/>
    <col min="15618" max="15618" width="0" style="22" hidden="1" customWidth="1"/>
    <col min="15619" max="15620" width="8.6640625" style="22" bestFit="1" customWidth="1"/>
    <col min="15621" max="15621" width="9.109375" style="22" customWidth="1"/>
    <col min="15622" max="15622" width="9" style="22" bestFit="1" customWidth="1"/>
    <col min="15623" max="15630" width="10" style="22" bestFit="1" customWidth="1"/>
    <col min="15631" max="15631" width="10.5546875" style="22" customWidth="1"/>
    <col min="15632" max="15872" width="9.109375" style="22"/>
    <col min="15873" max="15873" width="26.44140625" style="22" customWidth="1"/>
    <col min="15874" max="15874" width="0" style="22" hidden="1" customWidth="1"/>
    <col min="15875" max="15876" width="8.6640625" style="22" bestFit="1" customWidth="1"/>
    <col min="15877" max="15877" width="9.109375" style="22" customWidth="1"/>
    <col min="15878" max="15878" width="9" style="22" bestFit="1" customWidth="1"/>
    <col min="15879" max="15886" width="10" style="22" bestFit="1" customWidth="1"/>
    <col min="15887" max="15887" width="10.5546875" style="22" customWidth="1"/>
    <col min="15888" max="16128" width="9.109375" style="22"/>
    <col min="16129" max="16129" width="26.44140625" style="22" customWidth="1"/>
    <col min="16130" max="16130" width="0" style="22" hidden="1" customWidth="1"/>
    <col min="16131" max="16132" width="8.6640625" style="22" bestFit="1" customWidth="1"/>
    <col min="16133" max="16133" width="9.109375" style="22" customWidth="1"/>
    <col min="16134" max="16134" width="9" style="22" bestFit="1" customWidth="1"/>
    <col min="16135" max="16142" width="10" style="22" bestFit="1" customWidth="1"/>
    <col min="16143" max="16143" width="10.5546875" style="22" customWidth="1"/>
    <col min="16144" max="16384" width="9.109375" style="22"/>
  </cols>
  <sheetData>
    <row r="1" spans="1:23" ht="13.8" thickBot="1" x14ac:dyDescent="0.3">
      <c r="A1" s="531" t="s">
        <v>359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531"/>
    </row>
    <row r="2" spans="1:23" ht="12.75" customHeight="1" x14ac:dyDescent="0.3">
      <c r="A2" s="536" t="s">
        <v>360</v>
      </c>
      <c r="B2" s="539" t="s">
        <v>361</v>
      </c>
      <c r="C2" s="542" t="s">
        <v>33</v>
      </c>
      <c r="D2" s="543"/>
      <c r="E2" s="543"/>
      <c r="F2" s="543"/>
      <c r="G2" s="543"/>
      <c r="H2" s="543"/>
      <c r="I2" s="543"/>
      <c r="J2" s="543"/>
      <c r="K2" s="543"/>
      <c r="L2" s="543"/>
      <c r="M2" s="543"/>
      <c r="N2" s="544"/>
      <c r="O2" s="548" t="s">
        <v>209</v>
      </c>
      <c r="R2" s="481" t="s">
        <v>127</v>
      </c>
      <c r="S2" s="481"/>
      <c r="T2" s="426"/>
      <c r="U2" s="426"/>
      <c r="V2" s="426"/>
      <c r="W2" s="426"/>
    </row>
    <row r="3" spans="1:23" ht="13.2" customHeight="1" x14ac:dyDescent="0.25">
      <c r="A3" s="537"/>
      <c r="B3" s="540"/>
      <c r="C3" s="545"/>
      <c r="D3" s="546"/>
      <c r="E3" s="546"/>
      <c r="F3" s="546"/>
      <c r="G3" s="546"/>
      <c r="H3" s="546"/>
      <c r="I3" s="546"/>
      <c r="J3" s="546"/>
      <c r="K3" s="546"/>
      <c r="L3" s="546"/>
      <c r="M3" s="546"/>
      <c r="N3" s="547"/>
      <c r="O3" s="549"/>
      <c r="R3" s="499" t="s">
        <v>228</v>
      </c>
      <c r="S3" s="499"/>
      <c r="T3" s="499"/>
      <c r="U3" s="499"/>
      <c r="V3" s="499"/>
      <c r="W3" s="499"/>
    </row>
    <row r="4" spans="1:23" ht="20.399999999999999" customHeight="1" thickBot="1" x14ac:dyDescent="0.3">
      <c r="A4" s="538"/>
      <c r="B4" s="541"/>
      <c r="C4" s="36" t="s">
        <v>34</v>
      </c>
      <c r="D4" s="41" t="s">
        <v>35</v>
      </c>
      <c r="E4" s="41" t="s">
        <v>36</v>
      </c>
      <c r="F4" s="41" t="s">
        <v>37</v>
      </c>
      <c r="G4" s="41" t="s">
        <v>38</v>
      </c>
      <c r="H4" s="41" t="s">
        <v>39</v>
      </c>
      <c r="I4" s="41" t="s">
        <v>40</v>
      </c>
      <c r="J4" s="41" t="s">
        <v>41</v>
      </c>
      <c r="K4" s="41" t="s">
        <v>42</v>
      </c>
      <c r="L4" s="41" t="s">
        <v>43</v>
      </c>
      <c r="M4" s="41" t="s">
        <v>44</v>
      </c>
      <c r="N4" s="41" t="s">
        <v>45</v>
      </c>
      <c r="O4" s="550"/>
      <c r="R4" s="499"/>
      <c r="S4" s="499"/>
      <c r="T4" s="499"/>
      <c r="U4" s="499"/>
      <c r="V4" s="499"/>
      <c r="W4" s="499"/>
    </row>
    <row r="5" spans="1:23" ht="13.2" customHeight="1" x14ac:dyDescent="0.25">
      <c r="A5" s="441" t="s">
        <v>362</v>
      </c>
      <c r="B5" s="28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5"/>
      <c r="R5" s="427"/>
      <c r="S5" s="427"/>
      <c r="T5" s="427"/>
      <c r="U5" s="427"/>
      <c r="V5" s="427"/>
      <c r="W5" s="427"/>
    </row>
    <row r="6" spans="1:23" x14ac:dyDescent="0.25">
      <c r="A6" s="442" t="str">
        <f>'Фін результат'!A3</f>
        <v>Молоко питне</v>
      </c>
      <c r="B6" s="15"/>
      <c r="C6" s="70">
        <f>'Надходження коштів'!B6</f>
        <v>6911.9999999999991</v>
      </c>
      <c r="D6" s="70">
        <f>'Надходження коштів'!C6</f>
        <v>8832</v>
      </c>
      <c r="E6" s="70">
        <f>'Надходження коштів'!D6</f>
        <v>14277.12</v>
      </c>
      <c r="F6" s="70">
        <f>'Надходження коштів'!E6</f>
        <v>20321.28</v>
      </c>
      <c r="G6" s="70">
        <f>'Надходження коштів'!F6</f>
        <v>29145.599999999999</v>
      </c>
      <c r="H6" s="70">
        <f>'Надходження коштів'!G6</f>
        <v>36126.720000000001</v>
      </c>
      <c r="I6" s="70">
        <f>'Надходження коштів'!H6</f>
        <v>44605.440000000002</v>
      </c>
      <c r="J6" s="70">
        <f>'Надходження коштів'!I6</f>
        <v>44985.600000000006</v>
      </c>
      <c r="K6" s="70">
        <f>'Надходження коштів'!J6</f>
        <v>45722.879999999997</v>
      </c>
      <c r="L6" s="70">
        <f>'Надходження коштів'!K6</f>
        <v>41610.240000000013</v>
      </c>
      <c r="M6" s="70">
        <f>'Надходження коштів'!L6</f>
        <v>34944</v>
      </c>
      <c r="N6" s="70">
        <f>'Надходження коштів'!M6</f>
        <v>33177.599999999999</v>
      </c>
      <c r="O6" s="71">
        <f>SUM(C6:N6)</f>
        <v>360660.47999999998</v>
      </c>
      <c r="R6" s="535" t="s">
        <v>412</v>
      </c>
      <c r="S6" s="535"/>
      <c r="T6" s="535"/>
      <c r="U6" s="535"/>
      <c r="V6" s="535"/>
      <c r="W6" s="535"/>
    </row>
    <row r="7" spans="1:23" x14ac:dyDescent="0.25">
      <c r="A7" s="442" t="str">
        <f>'Фін результат'!A4</f>
        <v>Сир кисломолочний</v>
      </c>
      <c r="B7" s="15"/>
      <c r="C7" s="70">
        <f>'Надходження коштів'!B9</f>
        <v>13919.999999999998</v>
      </c>
      <c r="D7" s="70">
        <f>'Надходження коштів'!C9</f>
        <v>17786.666666666664</v>
      </c>
      <c r="E7" s="70">
        <f>'Надходження коштів'!D9</f>
        <v>28752.533333333333</v>
      </c>
      <c r="F7" s="70">
        <f>'Надходження коштів'!E9</f>
        <v>40924.799999999996</v>
      </c>
      <c r="G7" s="70">
        <f>'Надходження коштів'!F9</f>
        <v>58696</v>
      </c>
      <c r="H7" s="70">
        <f>'Надходження коштів'!G9</f>
        <v>72755.199999999997</v>
      </c>
      <c r="I7" s="70">
        <f>'Надходження коштів'!H9</f>
        <v>89830.399999999994</v>
      </c>
      <c r="J7" s="70">
        <f>'Надходження коштів'!I9</f>
        <v>90596</v>
      </c>
      <c r="K7" s="70">
        <f>'Надходження коштів'!J9</f>
        <v>92080.8</v>
      </c>
      <c r="L7" s="70">
        <f>'Надходження коштів'!K9</f>
        <v>83798.400000000009</v>
      </c>
      <c r="M7" s="70">
        <f>'Надходження коштів'!L9</f>
        <v>70373.333333333328</v>
      </c>
      <c r="N7" s="70">
        <f>'Надходження коштів'!M9</f>
        <v>66816</v>
      </c>
      <c r="O7" s="71">
        <f t="shared" ref="O7:O29" si="0">SUM(C7:N7)</f>
        <v>726330.1333333333</v>
      </c>
      <c r="R7" s="535"/>
      <c r="S7" s="535"/>
      <c r="T7" s="535"/>
      <c r="U7" s="535"/>
      <c r="V7" s="535"/>
      <c r="W7" s="535"/>
    </row>
    <row r="8" spans="1:23" x14ac:dyDescent="0.25">
      <c r="A8" s="442" t="str">
        <f>'Фін результат'!A5</f>
        <v>Кефір</v>
      </c>
      <c r="B8" s="15"/>
      <c r="C8" s="70">
        <f>'Надходження коштів'!B12</f>
        <v>23487.378640776697</v>
      </c>
      <c r="D8" s="70">
        <f>'Надходження коштів'!C12</f>
        <v>30011.65048543689</v>
      </c>
      <c r="E8" s="70">
        <f>'Надходження коштів'!D12</f>
        <v>48514.485436893206</v>
      </c>
      <c r="F8" s="70">
        <f>'Надходження коштів'!E12</f>
        <v>69052.89320388349</v>
      </c>
      <c r="G8" s="70">
        <f>'Надходження коштів'!F12</f>
        <v>99038.446601941745</v>
      </c>
      <c r="H8" s="70">
        <f>'Надходження коштів'!G12</f>
        <v>122760.69902912622</v>
      </c>
      <c r="I8" s="70">
        <f>'Надходження коштів'!H12</f>
        <v>151571.88349514565</v>
      </c>
      <c r="J8" s="70">
        <f>'Надходження коштів'!I12</f>
        <v>152863.68932038834</v>
      </c>
      <c r="K8" s="70">
        <f>'Надходження коштів'!J12</f>
        <v>155369.00970873787</v>
      </c>
      <c r="L8" s="70">
        <f>'Надходження коштів'!K12</f>
        <v>141394.01941747576</v>
      </c>
      <c r="M8" s="70">
        <f>'Надходження коштів'!L12</f>
        <v>118741.74757281551</v>
      </c>
      <c r="N8" s="70">
        <f>'Надходження коштів'!M12</f>
        <v>112739.41747572816</v>
      </c>
      <c r="O8" s="71">
        <f t="shared" si="0"/>
        <v>1225545.3203883495</v>
      </c>
      <c r="R8" s="535"/>
      <c r="S8" s="535"/>
      <c r="T8" s="535"/>
      <c r="U8" s="535"/>
      <c r="V8" s="535"/>
      <c r="W8" s="535"/>
    </row>
    <row r="9" spans="1:23" x14ac:dyDescent="0.25">
      <c r="A9" s="442" t="str">
        <f>'Фін результат'!A6</f>
        <v>Сметана</v>
      </c>
      <c r="B9" s="15"/>
      <c r="C9" s="70">
        <f>'Надходження коштів'!B15</f>
        <v>3908.5714285714284</v>
      </c>
      <c r="D9" s="70">
        <f>'Надходження коштів'!C15</f>
        <v>4994.2857142857138</v>
      </c>
      <c r="E9" s="70">
        <f>'Надходження коштів'!D15</f>
        <v>8073.3714285714286</v>
      </c>
      <c r="F9" s="70">
        <f>'Надходження коштів'!E15</f>
        <v>11491.199999999999</v>
      </c>
      <c r="G9" s="70">
        <f>'Надходження коштів'!F15</f>
        <v>16481.142857142855</v>
      </c>
      <c r="H9" s="70">
        <f>'Надходження коштів'!G15</f>
        <v>20428.8</v>
      </c>
      <c r="I9" s="70">
        <f>'Надходження коштів'!H15</f>
        <v>25223.314285714285</v>
      </c>
      <c r="J9" s="70">
        <f>'Надходження коштів'!I15</f>
        <v>25438.285714285717</v>
      </c>
      <c r="K9" s="70">
        <f>'Надходження коштів'!J15</f>
        <v>25855.200000000001</v>
      </c>
      <c r="L9" s="70">
        <f>'Надходження коштів'!K15</f>
        <v>23529.600000000006</v>
      </c>
      <c r="M9" s="70">
        <f>'Надходження коштів'!L15</f>
        <v>19759.999999999996</v>
      </c>
      <c r="N9" s="70">
        <f>'Надходження коштів'!M15</f>
        <v>18761.142857142859</v>
      </c>
      <c r="O9" s="71">
        <f t="shared" si="0"/>
        <v>203944.9142857143</v>
      </c>
      <c r="R9" s="535"/>
      <c r="S9" s="535"/>
      <c r="T9" s="535"/>
      <c r="U9" s="535"/>
      <c r="V9" s="535"/>
      <c r="W9" s="535"/>
    </row>
    <row r="10" spans="1:23" x14ac:dyDescent="0.25">
      <c r="A10" s="442" t="str">
        <f>'Фін результат'!A7</f>
        <v>Сир м'який</v>
      </c>
      <c r="B10" s="15"/>
      <c r="C10" s="70">
        <f>'Надходження коштів'!B18</f>
        <v>23040</v>
      </c>
      <c r="D10" s="70">
        <f>'Надходження коштів'!C18</f>
        <v>29439.999999999993</v>
      </c>
      <c r="E10" s="70">
        <f>'Надходження коштів'!D18</f>
        <v>47590.399999999994</v>
      </c>
      <c r="F10" s="70">
        <f>'Надходження коштів'!E18</f>
        <v>67737.599999999991</v>
      </c>
      <c r="G10" s="70">
        <f>'Надходження коштів'!F18</f>
        <v>97151.999999999985</v>
      </c>
      <c r="H10" s="70">
        <f>'Надходження коштів'!G18</f>
        <v>120422.39999999999</v>
      </c>
      <c r="I10" s="70">
        <f>'Надходження коштів'!H18</f>
        <v>148684.79999999999</v>
      </c>
      <c r="J10" s="70">
        <f>'Надходження коштів'!I18</f>
        <v>149952</v>
      </c>
      <c r="K10" s="70">
        <f>'Надходження коштів'!J18</f>
        <v>152409.60000000001</v>
      </c>
      <c r="L10" s="70">
        <f>'Надходження коштів'!K18</f>
        <v>138700.80000000002</v>
      </c>
      <c r="M10" s="70">
        <f>'Надходження коштів'!L18</f>
        <v>116479.99999999997</v>
      </c>
      <c r="N10" s="70">
        <f>'Надходження коштів'!M18</f>
        <v>110592.00000000003</v>
      </c>
      <c r="O10" s="71">
        <f t="shared" si="0"/>
        <v>1202201.5999999999</v>
      </c>
      <c r="R10" s="535"/>
      <c r="S10" s="535"/>
      <c r="T10" s="535"/>
      <c r="U10" s="535"/>
      <c r="V10" s="535"/>
      <c r="W10" s="535"/>
    </row>
    <row r="11" spans="1:23" x14ac:dyDescent="0.25">
      <c r="A11" s="442" t="str">
        <f>'Фін результат'!A8</f>
        <v>Сир Рікотта</v>
      </c>
      <c r="B11" s="17"/>
      <c r="C11" s="70">
        <f>'Надходження коштів'!B21</f>
        <v>8832.1331484049952</v>
      </c>
      <c r="D11" s="70">
        <f>'Надходження коштів'!C21</f>
        <v>11285.503467406381</v>
      </c>
      <c r="E11" s="70">
        <f>'Надходження коштів'!D21</f>
        <v>18243.261692094318</v>
      </c>
      <c r="F11" s="70">
        <f>'Надходження коштів'!E21</f>
        <v>25966.471456310686</v>
      </c>
      <c r="G11" s="70">
        <f>'Надходження коштів'!F21</f>
        <v>37242.161442441058</v>
      </c>
      <c r="H11" s="70">
        <f>'Надходження коштів'!G21</f>
        <v>46162.615922330086</v>
      </c>
      <c r="I11" s="70">
        <f>'Надходження коштів'!H21</f>
        <v>56996.69925104022</v>
      </c>
      <c r="J11" s="70">
        <f>'Надходження коштів'!I21</f>
        <v>57482.466574202474</v>
      </c>
      <c r="K11" s="70">
        <f>'Надходження коштів'!J21</f>
        <v>58424.560776699036</v>
      </c>
      <c r="L11" s="70">
        <f>'Надходження коштів'!K21</f>
        <v>53169.441553398057</v>
      </c>
      <c r="M11" s="70">
        <f>'Надходження коштів'!L21</f>
        <v>44651.339805825235</v>
      </c>
      <c r="N11" s="70">
        <f>'Надходження коштів'!M21</f>
        <v>42394.239112343959</v>
      </c>
      <c r="O11" s="71">
        <f t="shared" si="0"/>
        <v>460850.89420249651</v>
      </c>
      <c r="R11" s="535"/>
      <c r="S11" s="535"/>
      <c r="T11" s="535"/>
      <c r="U11" s="535"/>
      <c r="V11" s="535"/>
      <c r="W11" s="535"/>
    </row>
    <row r="12" spans="1:23" x14ac:dyDescent="0.25">
      <c r="A12" s="443" t="s">
        <v>363</v>
      </c>
      <c r="B12" s="17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1">
        <f t="shared" si="0"/>
        <v>0</v>
      </c>
      <c r="R12" s="535"/>
      <c r="S12" s="535"/>
      <c r="T12" s="535"/>
      <c r="U12" s="535"/>
      <c r="V12" s="535"/>
      <c r="W12" s="535"/>
    </row>
    <row r="13" spans="1:23" x14ac:dyDescent="0.25">
      <c r="A13" s="443" t="s">
        <v>364</v>
      </c>
      <c r="B13" s="18">
        <v>0</v>
      </c>
      <c r="C13" s="72">
        <v>0</v>
      </c>
      <c r="D13" s="70">
        <v>0</v>
      </c>
      <c r="E13" s="70">
        <v>0</v>
      </c>
      <c r="F13" s="70">
        <v>0</v>
      </c>
      <c r="G13" s="70">
        <v>0</v>
      </c>
      <c r="H13" s="70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1">
        <f t="shared" si="0"/>
        <v>0</v>
      </c>
      <c r="R13" s="535"/>
      <c r="S13" s="535"/>
      <c r="T13" s="535"/>
      <c r="U13" s="535"/>
      <c r="V13" s="535"/>
      <c r="W13" s="535"/>
    </row>
    <row r="14" spans="1:23" ht="13.8" thickBot="1" x14ac:dyDescent="0.3">
      <c r="A14" s="444" t="s">
        <v>365</v>
      </c>
      <c r="B14" s="30">
        <f t="shared" ref="B14" si="1">SUM(B11:B13)</f>
        <v>0</v>
      </c>
      <c r="C14" s="73">
        <f>SUM(C6:C13)</f>
        <v>80100.083217753127</v>
      </c>
      <c r="D14" s="73">
        <f t="shared" ref="D14:N14" si="2">SUM(D6:D13)</f>
        <v>102350.10633379564</v>
      </c>
      <c r="E14" s="73">
        <f t="shared" si="2"/>
        <v>165451.17189089226</v>
      </c>
      <c r="F14" s="73">
        <f t="shared" si="2"/>
        <v>235494.24466019418</v>
      </c>
      <c r="G14" s="73">
        <f t="shared" si="2"/>
        <v>337755.35090152564</v>
      </c>
      <c r="H14" s="73">
        <f t="shared" si="2"/>
        <v>418656.43495145626</v>
      </c>
      <c r="I14" s="73">
        <f t="shared" si="2"/>
        <v>516912.5370319002</v>
      </c>
      <c r="J14" s="73">
        <f t="shared" si="2"/>
        <v>521318.04160887655</v>
      </c>
      <c r="K14" s="73">
        <f t="shared" si="2"/>
        <v>529862.05048543692</v>
      </c>
      <c r="L14" s="73">
        <f t="shared" si="2"/>
        <v>482202.50097087387</v>
      </c>
      <c r="M14" s="73">
        <f t="shared" si="2"/>
        <v>404950.42071197403</v>
      </c>
      <c r="N14" s="73">
        <f t="shared" si="2"/>
        <v>384480.39944521501</v>
      </c>
      <c r="O14" s="74">
        <f t="shared" si="0"/>
        <v>4179533.3422098933</v>
      </c>
      <c r="R14" s="535"/>
      <c r="S14" s="535"/>
      <c r="T14" s="535"/>
      <c r="U14" s="535"/>
      <c r="V14" s="535"/>
      <c r="W14" s="535"/>
    </row>
    <row r="15" spans="1:23" s="23" customFormat="1" x14ac:dyDescent="0.25">
      <c r="A15" s="441" t="s">
        <v>366</v>
      </c>
      <c r="B15" s="27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6">
        <f t="shared" si="0"/>
        <v>0</v>
      </c>
      <c r="R15" s="535"/>
      <c r="S15" s="535"/>
      <c r="T15" s="535"/>
      <c r="U15" s="535"/>
      <c r="V15" s="535"/>
      <c r="W15" s="535"/>
    </row>
    <row r="16" spans="1:23" ht="26.4" x14ac:dyDescent="0.25">
      <c r="A16" s="443" t="s">
        <v>367</v>
      </c>
      <c r="B16" s="17">
        <v>0</v>
      </c>
      <c r="C16" s="77"/>
      <c r="D16" s="77"/>
      <c r="E16" s="77"/>
      <c r="F16" s="77"/>
      <c r="G16" s="77" t="s">
        <v>330</v>
      </c>
      <c r="H16" s="77"/>
      <c r="I16" s="78"/>
      <c r="J16" s="78"/>
      <c r="K16" s="78"/>
      <c r="L16" s="78"/>
      <c r="M16" s="78"/>
      <c r="N16" s="78"/>
      <c r="O16" s="71">
        <f t="shared" si="0"/>
        <v>0</v>
      </c>
      <c r="R16" s="535"/>
      <c r="S16" s="535"/>
      <c r="T16" s="535"/>
      <c r="U16" s="535"/>
      <c r="V16" s="535"/>
      <c r="W16" s="535"/>
    </row>
    <row r="17" spans="1:23" ht="13.8" thickBot="1" x14ac:dyDescent="0.3">
      <c r="A17" s="445" t="s">
        <v>368</v>
      </c>
      <c r="B17" s="69">
        <f t="shared" ref="B17:N17" si="3">SUM(B16:B16)</f>
        <v>0</v>
      </c>
      <c r="C17" s="79">
        <f t="shared" si="3"/>
        <v>0</v>
      </c>
      <c r="D17" s="79">
        <f t="shared" si="3"/>
        <v>0</v>
      </c>
      <c r="E17" s="79">
        <f t="shared" si="3"/>
        <v>0</v>
      </c>
      <c r="F17" s="79">
        <f t="shared" si="3"/>
        <v>0</v>
      </c>
      <c r="G17" s="79">
        <f t="shared" si="3"/>
        <v>0</v>
      </c>
      <c r="H17" s="79">
        <f t="shared" si="3"/>
        <v>0</v>
      </c>
      <c r="I17" s="79">
        <f t="shared" si="3"/>
        <v>0</v>
      </c>
      <c r="J17" s="79">
        <f t="shared" si="3"/>
        <v>0</v>
      </c>
      <c r="K17" s="79">
        <f t="shared" si="3"/>
        <v>0</v>
      </c>
      <c r="L17" s="79">
        <f t="shared" si="3"/>
        <v>0</v>
      </c>
      <c r="M17" s="79">
        <f t="shared" si="3"/>
        <v>0</v>
      </c>
      <c r="N17" s="79">
        <f t="shared" si="3"/>
        <v>0</v>
      </c>
      <c r="O17" s="80">
        <f t="shared" si="0"/>
        <v>0</v>
      </c>
      <c r="R17" s="535"/>
      <c r="S17" s="535"/>
      <c r="T17" s="535"/>
      <c r="U17" s="535"/>
      <c r="V17" s="535"/>
      <c r="W17" s="535"/>
    </row>
    <row r="18" spans="1:23" x14ac:dyDescent="0.25">
      <c r="A18" s="441" t="s">
        <v>369</v>
      </c>
      <c r="B18" s="24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2">
        <f t="shared" si="0"/>
        <v>0</v>
      </c>
    </row>
    <row r="19" spans="1:23" x14ac:dyDescent="0.25">
      <c r="A19" s="446" t="s">
        <v>370</v>
      </c>
      <c r="B19" s="68"/>
      <c r="C19" s="83">
        <f>ПММ!B11</f>
        <v>11554.4</v>
      </c>
      <c r="D19" s="83">
        <f>ПММ!C11</f>
        <v>11554.4</v>
      </c>
      <c r="E19" s="83">
        <f>ПММ!D11</f>
        <v>12623.599999999999</v>
      </c>
      <c r="F19" s="83">
        <f>ПММ!E11</f>
        <v>12090.96</v>
      </c>
      <c r="G19" s="83">
        <f>ПММ!F11</f>
        <v>12709.839999999998</v>
      </c>
      <c r="H19" s="83">
        <f>ПММ!G11</f>
        <v>12173.279999999999</v>
      </c>
      <c r="I19" s="83">
        <f>ПММ!H11</f>
        <v>13794</v>
      </c>
      <c r="J19" s="83">
        <f>ПММ!I11</f>
        <v>13794</v>
      </c>
      <c r="K19" s="83">
        <f>ПММ!J11</f>
        <v>15918.839999999998</v>
      </c>
      <c r="L19" s="83">
        <f>ПММ!K11</f>
        <v>15813</v>
      </c>
      <c r="M19" s="83">
        <f>ПММ!L11</f>
        <v>15060</v>
      </c>
      <c r="N19" s="83">
        <f>ПММ!M11</f>
        <v>14959.2</v>
      </c>
      <c r="O19" s="84">
        <f t="shared" si="0"/>
        <v>162045.51999999999</v>
      </c>
    </row>
    <row r="20" spans="1:23" x14ac:dyDescent="0.25">
      <c r="A20" s="446" t="s">
        <v>371</v>
      </c>
      <c r="B20" s="68"/>
      <c r="C20" s="83">
        <f>(Транспорт!$H$3-Транспорт!$C$3)/12</f>
        <v>4204.8111681333348</v>
      </c>
      <c r="D20" s="83">
        <f>(Транспорт!$H$3-Транспорт!$C$3)/12</f>
        <v>4204.8111681333348</v>
      </c>
      <c r="E20" s="83">
        <f>(Транспорт!$H$3-Транспорт!$C$3)/12</f>
        <v>4204.8111681333348</v>
      </c>
      <c r="F20" s="83">
        <f>(Транспорт!$H$3-Транспорт!$C$3)/12</f>
        <v>4204.8111681333348</v>
      </c>
      <c r="G20" s="83">
        <f>(Транспорт!$H$3-Транспорт!$C$3)/12</f>
        <v>4204.8111681333348</v>
      </c>
      <c r="H20" s="83">
        <f>(Транспорт!$H$3-Транспорт!$C$3)/12</f>
        <v>4204.8111681333348</v>
      </c>
      <c r="I20" s="83">
        <f>(Транспорт!$H$3-Транспорт!$C$3)/12</f>
        <v>4204.8111681333348</v>
      </c>
      <c r="J20" s="83">
        <f>(Транспорт!$H$3-Транспорт!$C$3)/12</f>
        <v>4204.8111681333348</v>
      </c>
      <c r="K20" s="83">
        <f>(Транспорт!$H$3-Транспорт!$C$3)/12</f>
        <v>4204.8111681333348</v>
      </c>
      <c r="L20" s="83">
        <f>(Транспорт!$H$3-Транспорт!$C$3)/12</f>
        <v>4204.8111681333348</v>
      </c>
      <c r="M20" s="83">
        <f>(Транспорт!$H$3-Транспорт!$C$3)/12</f>
        <v>4204.8111681333348</v>
      </c>
      <c r="N20" s="83">
        <f>(Транспорт!$H$3-Транспорт!$C$3)/12</f>
        <v>4204.8111681333348</v>
      </c>
      <c r="O20" s="84">
        <f t="shared" si="0"/>
        <v>50457.734017600007</v>
      </c>
    </row>
    <row r="21" spans="1:23" x14ac:dyDescent="0.25">
      <c r="A21" s="446" t="s">
        <v>372</v>
      </c>
      <c r="B21" s="68"/>
      <c r="C21" s="83">
        <f>ОП!$B$4/12</f>
        <v>84180</v>
      </c>
      <c r="D21" s="83">
        <f>ОП!$B$4/12</f>
        <v>84180</v>
      </c>
      <c r="E21" s="83">
        <f>ОП!$B$4/12</f>
        <v>84180</v>
      </c>
      <c r="F21" s="83">
        <f>ОП!$B$4/12</f>
        <v>84180</v>
      </c>
      <c r="G21" s="83">
        <f>ОП!$B$4/12</f>
        <v>84180</v>
      </c>
      <c r="H21" s="83">
        <f>ОП!$B$4/12</f>
        <v>84180</v>
      </c>
      <c r="I21" s="83">
        <f>ОП!$B$4/12</f>
        <v>84180</v>
      </c>
      <c r="J21" s="83">
        <f>ОП!$B$4/12</f>
        <v>84180</v>
      </c>
      <c r="K21" s="83">
        <f>ОП!$B$4/12</f>
        <v>84180</v>
      </c>
      <c r="L21" s="83">
        <f>ОП!$B$4/12</f>
        <v>84180</v>
      </c>
      <c r="M21" s="83">
        <f>ОП!$B$4/12</f>
        <v>84180</v>
      </c>
      <c r="N21" s="83">
        <f>ОП!$B$4/12</f>
        <v>84180</v>
      </c>
      <c r="O21" s="84">
        <f t="shared" si="0"/>
        <v>1010160</v>
      </c>
    </row>
    <row r="22" spans="1:23" x14ac:dyDescent="0.25">
      <c r="A22" s="446" t="s">
        <v>373</v>
      </c>
      <c r="B22" s="68"/>
      <c r="C22" s="83">
        <f>'Енергоресурси ГРН'!B38</f>
        <v>2474.9130141628402</v>
      </c>
      <c r="D22" s="83">
        <f>'Енергоресурси ГРН'!C38</f>
        <v>3162.3888514302953</v>
      </c>
      <c r="E22" s="83">
        <f>'Енергоресурси ГРН'!D38</f>
        <v>5112.0703259208003</v>
      </c>
      <c r="F22" s="83">
        <f>'Енергоресурси ГРН'!E38</f>
        <v>7276.2442616387507</v>
      </c>
      <c r="G22" s="83">
        <f>'Енергоресурси ГРН'!F38</f>
        <v>10435.883209719976</v>
      </c>
      <c r="H22" s="83">
        <f>'Енергоресурси ГРН'!G38</f>
        <v>12935.545354024447</v>
      </c>
      <c r="I22" s="83">
        <f>'Енергоресурси ГРН'!H38</f>
        <v>15971.43865139753</v>
      </c>
      <c r="J22" s="83">
        <f>'Енергоресурси ГРН'!I38</f>
        <v>16107.558867176487</v>
      </c>
      <c r="K22" s="83">
        <f>'Енергоресурси ГРН'!J38</f>
        <v>16371.54958868719</v>
      </c>
      <c r="L22" s="83">
        <f>'Енергоресурси ГРН'!K38</f>
        <v>14898.9763452603</v>
      </c>
      <c r="M22" s="83">
        <f>'Енергоресурси ГРН'!L38</f>
        <v>12512.060238267692</v>
      </c>
      <c r="N22" s="83">
        <f>'Енергоресурси ГРН'!M38</f>
        <v>11879.582467981636</v>
      </c>
      <c r="O22" s="84">
        <f t="shared" si="0"/>
        <v>129138.21117566794</v>
      </c>
    </row>
    <row r="23" spans="1:23" x14ac:dyDescent="0.25">
      <c r="A23" s="446" t="s">
        <v>374</v>
      </c>
      <c r="B23" s="68"/>
      <c r="C23" s="83">
        <f>Матеріали1!B10</f>
        <v>8156.8650208044382</v>
      </c>
      <c r="D23" s="83">
        <f>Матеріали1!C10</f>
        <v>10422.660859916781</v>
      </c>
      <c r="E23" s="83">
        <f>Матеріали1!D10</f>
        <v>16848.457859639391</v>
      </c>
      <c r="F23" s="83">
        <f>Матеріали1!E10</f>
        <v>23981.183161165049</v>
      </c>
      <c r="G23" s="83">
        <f>Матеріали1!F10</f>
        <v>34394.780837725382</v>
      </c>
      <c r="H23" s="83">
        <f>Матеріали1!G10</f>
        <v>42633.214508737867</v>
      </c>
      <c r="I23" s="83">
        <f>Матеріали1!H10</f>
        <v>52638.96893425798</v>
      </c>
      <c r="J23" s="83">
        <f>Матеріали1!I10</f>
        <v>53087.596510402211</v>
      </c>
      <c r="K23" s="83">
        <f>Матеріали1!J10</f>
        <v>53957.662112621365</v>
      </c>
      <c r="L23" s="83">
        <f>Матеріали1!K10</f>
        <v>49104.327425242722</v>
      </c>
      <c r="M23" s="83">
        <f>Матеріали1!L10</f>
        <v>41237.484271844653</v>
      </c>
      <c r="N23" s="83">
        <f>Матеріали1!M10</f>
        <v>39152.952099861308</v>
      </c>
      <c r="O23" s="84">
        <f t="shared" si="0"/>
        <v>425616.15360221919</v>
      </c>
    </row>
    <row r="24" spans="1:23" x14ac:dyDescent="0.25">
      <c r="A24" s="443" t="s">
        <v>375</v>
      </c>
      <c r="B24" s="16">
        <v>0</v>
      </c>
      <c r="C24" s="70">
        <f>'Молоко-сировина'!B10</f>
        <v>28800</v>
      </c>
      <c r="D24" s="70">
        <f>'Молоко-сировина'!C10</f>
        <v>36800</v>
      </c>
      <c r="E24" s="70">
        <f>'Молоко-сировина'!D10</f>
        <v>59487.999999999985</v>
      </c>
      <c r="F24" s="70">
        <f>'Молоко-сировина'!E10</f>
        <v>84672</v>
      </c>
      <c r="G24" s="70">
        <f>'Молоко-сировина'!F10</f>
        <v>121439.99999999997</v>
      </c>
      <c r="H24" s="70">
        <f>'Молоко-сировина'!G10</f>
        <v>150528</v>
      </c>
      <c r="I24" s="70">
        <f>'Молоко-сировина'!H10</f>
        <v>185855.99999999997</v>
      </c>
      <c r="J24" s="70">
        <f>'Молоко-сировина'!I10</f>
        <v>187440</v>
      </c>
      <c r="K24" s="70">
        <f>'Молоко-сировина'!J10</f>
        <v>190512</v>
      </c>
      <c r="L24" s="70">
        <f>'Молоко-сировина'!K10</f>
        <v>173376.00000000003</v>
      </c>
      <c r="M24" s="70">
        <f>'Молоко-сировина'!L10</f>
        <v>145599.99999999997</v>
      </c>
      <c r="N24" s="70">
        <f>'Молоко-сировина'!M10</f>
        <v>138240.00000000003</v>
      </c>
      <c r="O24" s="84">
        <f t="shared" si="0"/>
        <v>1502752</v>
      </c>
    </row>
    <row r="25" spans="1:23" x14ac:dyDescent="0.25">
      <c r="A25" s="443" t="s">
        <v>376</v>
      </c>
      <c r="B25" s="16"/>
      <c r="C25" s="70">
        <f>'Витрати на збут'!B8</f>
        <v>4600</v>
      </c>
      <c r="D25" s="70">
        <f>'Витрати на збут'!C8</f>
        <v>4600</v>
      </c>
      <c r="E25" s="70">
        <f>'Витрати на збут'!D8</f>
        <v>4600</v>
      </c>
      <c r="F25" s="70">
        <f>'Витрати на збут'!E8</f>
        <v>4600</v>
      </c>
      <c r="G25" s="70">
        <f>'Витрати на збут'!F8</f>
        <v>4600</v>
      </c>
      <c r="H25" s="70">
        <f>'Витрати на збут'!G8</f>
        <v>4600</v>
      </c>
      <c r="I25" s="70">
        <f>'Витрати на збут'!H8</f>
        <v>4600</v>
      </c>
      <c r="J25" s="70">
        <f>'Витрати на збут'!I8</f>
        <v>4600</v>
      </c>
      <c r="K25" s="70">
        <f>'Витрати на збут'!J8</f>
        <v>4600</v>
      </c>
      <c r="L25" s="70">
        <f>'Витрати на збут'!K8</f>
        <v>4600</v>
      </c>
      <c r="M25" s="70">
        <f>'Витрати на збут'!L8</f>
        <v>4600</v>
      </c>
      <c r="N25" s="70">
        <f>'Витрати на збут'!M8</f>
        <v>4600</v>
      </c>
      <c r="O25" s="84">
        <f t="shared" si="0"/>
        <v>55200</v>
      </c>
    </row>
    <row r="26" spans="1:23" x14ac:dyDescent="0.25">
      <c r="A26" s="443" t="s">
        <v>377</v>
      </c>
      <c r="B26" s="16"/>
      <c r="C26" s="70">
        <f>'Експл витрати'!B11</f>
        <v>7750</v>
      </c>
      <c r="D26" s="70">
        <f>'Експл витрати'!C11</f>
        <v>7750</v>
      </c>
      <c r="E26" s="70">
        <f>'Експл витрати'!D11</f>
        <v>7750</v>
      </c>
      <c r="F26" s="70">
        <f>'Експл витрати'!E11</f>
        <v>7750</v>
      </c>
      <c r="G26" s="70">
        <f>'Експл витрати'!F11</f>
        <v>7750</v>
      </c>
      <c r="H26" s="70">
        <f>'Експл витрати'!G11</f>
        <v>7750</v>
      </c>
      <c r="I26" s="70">
        <f>'Експл витрати'!H11</f>
        <v>7750</v>
      </c>
      <c r="J26" s="70">
        <f>'Експл витрати'!I11</f>
        <v>7750</v>
      </c>
      <c r="K26" s="70">
        <f>'Експл витрати'!J11</f>
        <v>7750</v>
      </c>
      <c r="L26" s="70">
        <f>'Експл витрати'!K11</f>
        <v>7750</v>
      </c>
      <c r="M26" s="70">
        <f>'Експл витрати'!L11</f>
        <v>7750</v>
      </c>
      <c r="N26" s="70">
        <f>'Експл витрати'!M11</f>
        <v>7750</v>
      </c>
      <c r="O26" s="84">
        <f t="shared" si="0"/>
        <v>93000</v>
      </c>
    </row>
    <row r="27" spans="1:23" x14ac:dyDescent="0.25">
      <c r="A27" s="447"/>
      <c r="B27" s="17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84"/>
    </row>
    <row r="28" spans="1:23" x14ac:dyDescent="0.25">
      <c r="A28" s="448"/>
      <c r="B28" s="17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1"/>
    </row>
    <row r="29" spans="1:23" ht="13.8" thickBot="1" x14ac:dyDescent="0.3">
      <c r="A29" s="444" t="s">
        <v>378</v>
      </c>
      <c r="B29" s="26">
        <f>SUM(B24:B28)</f>
        <v>0</v>
      </c>
      <c r="C29" s="85">
        <f>SUM(C19:C28)</f>
        <v>151720.98920310062</v>
      </c>
      <c r="D29" s="85">
        <f t="shared" ref="D29:N29" si="4">SUM(D19:D28)</f>
        <v>162674.2608794804</v>
      </c>
      <c r="E29" s="85">
        <f t="shared" si="4"/>
        <v>194806.93935369351</v>
      </c>
      <c r="F29" s="85">
        <f t="shared" si="4"/>
        <v>228755.19859093713</v>
      </c>
      <c r="G29" s="85">
        <f t="shared" si="4"/>
        <v>279715.31521557865</v>
      </c>
      <c r="H29" s="85">
        <f t="shared" si="4"/>
        <v>319004.85103089566</v>
      </c>
      <c r="I29" s="85">
        <f t="shared" si="4"/>
        <v>368995.21875378885</v>
      </c>
      <c r="J29" s="85">
        <f t="shared" si="4"/>
        <v>371163.96654571203</v>
      </c>
      <c r="K29" s="85">
        <f t="shared" si="4"/>
        <v>377494.86286944186</v>
      </c>
      <c r="L29" s="85">
        <f t="shared" si="4"/>
        <v>353927.11493863643</v>
      </c>
      <c r="M29" s="85">
        <f t="shared" si="4"/>
        <v>315144.35567824566</v>
      </c>
      <c r="N29" s="85">
        <f t="shared" si="4"/>
        <v>304966.54573597631</v>
      </c>
      <c r="O29" s="74">
        <f t="shared" si="0"/>
        <v>3428369.6187954866</v>
      </c>
    </row>
    <row r="30" spans="1:23" s="23" customFormat="1" x14ac:dyDescent="0.25">
      <c r="A30" s="449" t="s">
        <v>379</v>
      </c>
      <c r="B30" s="21">
        <f t="shared" ref="B30:N30" si="5">B14-B17-B29</f>
        <v>0</v>
      </c>
      <c r="C30" s="86">
        <f t="shared" si="5"/>
        <v>-71620.90598534749</v>
      </c>
      <c r="D30" s="86">
        <f t="shared" si="5"/>
        <v>-60324.154545684753</v>
      </c>
      <c r="E30" s="86">
        <f t="shared" si="5"/>
        <v>-29355.767462801246</v>
      </c>
      <c r="F30" s="86">
        <f t="shared" si="5"/>
        <v>6739.0460692570487</v>
      </c>
      <c r="G30" s="86">
        <f t="shared" si="5"/>
        <v>58040.03568594699</v>
      </c>
      <c r="H30" s="86">
        <f t="shared" si="5"/>
        <v>99651.583920560603</v>
      </c>
      <c r="I30" s="86">
        <f t="shared" si="5"/>
        <v>147917.31827811134</v>
      </c>
      <c r="J30" s="86">
        <f t="shared" si="5"/>
        <v>150154.07506316452</v>
      </c>
      <c r="K30" s="86">
        <f t="shared" si="5"/>
        <v>152367.18761599506</v>
      </c>
      <c r="L30" s="86">
        <f t="shared" si="5"/>
        <v>128275.38603223744</v>
      </c>
      <c r="M30" s="86">
        <f t="shared" si="5"/>
        <v>89806.065033728373</v>
      </c>
      <c r="N30" s="86">
        <f t="shared" si="5"/>
        <v>79513.853709238698</v>
      </c>
      <c r="O30" s="86"/>
    </row>
    <row r="31" spans="1:23" s="23" customFormat="1" x14ac:dyDescent="0.25">
      <c r="A31" s="450" t="s">
        <v>380</v>
      </c>
      <c r="B31" s="19">
        <v>0</v>
      </c>
      <c r="C31" s="87">
        <f>B32</f>
        <v>0</v>
      </c>
      <c r="D31" s="87">
        <f t="shared" ref="D31:N31" si="6">C32</f>
        <v>-71620.90598534749</v>
      </c>
      <c r="E31" s="87">
        <f t="shared" si="6"/>
        <v>-131945.06053103224</v>
      </c>
      <c r="F31" s="87">
        <f t="shared" si="6"/>
        <v>-161300.82799383349</v>
      </c>
      <c r="G31" s="87">
        <f t="shared" si="6"/>
        <v>-154561.78192457644</v>
      </c>
      <c r="H31" s="87">
        <f t="shared" si="6"/>
        <v>-96521.74623862945</v>
      </c>
      <c r="I31" s="87">
        <f t="shared" si="6"/>
        <v>3129.8376819311525</v>
      </c>
      <c r="J31" s="87">
        <f t="shared" si="6"/>
        <v>151047.1559600425</v>
      </c>
      <c r="K31" s="87">
        <f t="shared" si="6"/>
        <v>301201.23102320702</v>
      </c>
      <c r="L31" s="87">
        <f t="shared" si="6"/>
        <v>453568.41863920208</v>
      </c>
      <c r="M31" s="87">
        <f t="shared" si="6"/>
        <v>581843.80467143958</v>
      </c>
      <c r="N31" s="87">
        <f t="shared" si="6"/>
        <v>671649.86970516795</v>
      </c>
      <c r="O31" s="87"/>
    </row>
    <row r="32" spans="1:23" s="23" customFormat="1" x14ac:dyDescent="0.25">
      <c r="A32" s="451" t="s">
        <v>381</v>
      </c>
      <c r="B32" s="20">
        <f>B31+B30</f>
        <v>0</v>
      </c>
      <c r="C32" s="88">
        <f>C31+C30</f>
        <v>-71620.90598534749</v>
      </c>
      <c r="D32" s="88">
        <f t="shared" ref="D32:N32" si="7">D31+D30</f>
        <v>-131945.06053103224</v>
      </c>
      <c r="E32" s="88">
        <f t="shared" si="7"/>
        <v>-161300.82799383349</v>
      </c>
      <c r="F32" s="88">
        <f t="shared" si="7"/>
        <v>-154561.78192457644</v>
      </c>
      <c r="G32" s="88">
        <f t="shared" si="7"/>
        <v>-96521.74623862945</v>
      </c>
      <c r="H32" s="88">
        <f t="shared" si="7"/>
        <v>3129.8376819311525</v>
      </c>
      <c r="I32" s="88">
        <f t="shared" si="7"/>
        <v>151047.1559600425</v>
      </c>
      <c r="J32" s="88">
        <f t="shared" si="7"/>
        <v>301201.23102320702</v>
      </c>
      <c r="K32" s="88">
        <f t="shared" si="7"/>
        <v>453568.41863920208</v>
      </c>
      <c r="L32" s="88">
        <f t="shared" si="7"/>
        <v>581843.80467143958</v>
      </c>
      <c r="M32" s="88">
        <f t="shared" si="7"/>
        <v>671649.86970516795</v>
      </c>
      <c r="N32" s="88">
        <f t="shared" si="7"/>
        <v>751163.72341440665</v>
      </c>
      <c r="O32" s="86"/>
    </row>
  </sheetData>
  <sheetProtection algorithmName="SHA-512" hashValue="5lW7mnLSL9JUgWaavwg8nRp3PRJRtRelJnXxTYApR0CbR5fzC+TfU8YFtK+7yPbqBoEve+ao68ctHnShZcwolw==" saltValue="DXpsXcIVS3b4ZLdO5uEI5w==" spinCount="100000" sheet="1" objects="1" scenarios="1"/>
  <mergeCells count="8">
    <mergeCell ref="R6:W17"/>
    <mergeCell ref="R2:S2"/>
    <mergeCell ref="A1:O1"/>
    <mergeCell ref="A2:A4"/>
    <mergeCell ref="B2:B4"/>
    <mergeCell ref="C2:N3"/>
    <mergeCell ref="O2:O4"/>
    <mergeCell ref="R3:W4"/>
  </mergeCells>
  <pageMargins left="0.7" right="0.7" top="0.75" bottom="0.75" header="0.3" footer="0.3"/>
  <ignoredErrors>
    <ignoredError sqref="O13" formulaRange="1"/>
    <ignoredError sqref="A6:A11" unlockedFormula="1"/>
    <ignoredError sqref="C31:N32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87"/>
  <sheetViews>
    <sheetView workbookViewId="0">
      <selection activeCell="N2" sqref="N2"/>
    </sheetView>
  </sheetViews>
  <sheetFormatPr defaultRowHeight="14.4" x14ac:dyDescent="0.3"/>
  <cols>
    <col min="1" max="1" width="7.5546875" style="1" customWidth="1"/>
    <col min="2" max="2" width="52" customWidth="1"/>
    <col min="3" max="3" width="10.6640625" customWidth="1"/>
    <col min="4" max="4" width="18.109375" customWidth="1"/>
    <col min="5" max="5" width="18.44140625" customWidth="1"/>
    <col min="6" max="6" width="17.109375" customWidth="1"/>
  </cols>
  <sheetData>
    <row r="1" spans="1:14" s="2" customFormat="1" ht="15" thickBot="1" x14ac:dyDescent="0.35">
      <c r="A1" s="480" t="s">
        <v>120</v>
      </c>
      <c r="B1" s="480"/>
      <c r="C1" s="480"/>
      <c r="D1" s="480"/>
      <c r="E1" s="480"/>
      <c r="F1" s="480"/>
    </row>
    <row r="2" spans="1:14" s="3" customFormat="1" ht="43.2" customHeight="1" thickBot="1" x14ac:dyDescent="0.35">
      <c r="A2" s="125" t="s">
        <v>121</v>
      </c>
      <c r="B2" s="126" t="s">
        <v>382</v>
      </c>
      <c r="C2" s="127" t="s">
        <v>123</v>
      </c>
      <c r="D2" s="127" t="s">
        <v>124</v>
      </c>
      <c r="E2" s="127" t="s">
        <v>125</v>
      </c>
      <c r="F2" s="128" t="s">
        <v>126</v>
      </c>
      <c r="I2" s="481" t="s">
        <v>127</v>
      </c>
      <c r="J2" s="481"/>
      <c r="K2" s="431"/>
      <c r="L2" s="431"/>
    </row>
    <row r="3" spans="1:14" ht="14.4" customHeight="1" x14ac:dyDescent="0.3">
      <c r="A3" s="106"/>
      <c r="B3" s="107" t="s">
        <v>128</v>
      </c>
      <c r="C3" s="108"/>
      <c r="D3" s="97"/>
      <c r="E3" s="47"/>
      <c r="F3" s="97"/>
      <c r="I3" s="481" t="s">
        <v>129</v>
      </c>
      <c r="J3" s="481"/>
      <c r="K3" s="482"/>
      <c r="L3" s="428"/>
    </row>
    <row r="4" spans="1:14" x14ac:dyDescent="0.3">
      <c r="A4" s="109">
        <v>1</v>
      </c>
      <c r="B4" s="110" t="s">
        <v>130</v>
      </c>
      <c r="C4" s="111">
        <v>1</v>
      </c>
      <c r="D4" s="112">
        <v>38000</v>
      </c>
      <c r="E4" s="65">
        <f>C4*D4</f>
        <v>38000</v>
      </c>
      <c r="F4" s="90">
        <v>5</v>
      </c>
    </row>
    <row r="5" spans="1:14" x14ac:dyDescent="0.3">
      <c r="A5" s="109">
        <v>2</v>
      </c>
      <c r="B5" s="110" t="s">
        <v>131</v>
      </c>
      <c r="C5" s="111">
        <v>1</v>
      </c>
      <c r="D5" s="112">
        <v>11000</v>
      </c>
      <c r="E5" s="65">
        <f t="shared" ref="E5:E68" si="0">C5*D5</f>
        <v>11000</v>
      </c>
      <c r="F5" s="90">
        <v>5</v>
      </c>
      <c r="I5" s="483" t="s">
        <v>383</v>
      </c>
      <c r="J5" s="484"/>
      <c r="K5" s="484"/>
      <c r="L5" s="484"/>
      <c r="M5" s="484"/>
      <c r="N5" s="484"/>
    </row>
    <row r="6" spans="1:14" x14ac:dyDescent="0.3">
      <c r="A6" s="109">
        <v>3</v>
      </c>
      <c r="B6" s="110" t="s">
        <v>132</v>
      </c>
      <c r="C6" s="111">
        <v>1</v>
      </c>
      <c r="D6" s="112">
        <v>12000</v>
      </c>
      <c r="E6" s="65">
        <f t="shared" ref="E6" si="1">C6*D6</f>
        <v>12000</v>
      </c>
      <c r="F6" s="90">
        <v>5</v>
      </c>
      <c r="I6" s="484"/>
      <c r="J6" s="484"/>
      <c r="K6" s="484"/>
      <c r="L6" s="484"/>
      <c r="M6" s="484"/>
      <c r="N6" s="484"/>
    </row>
    <row r="7" spans="1:14" x14ac:dyDescent="0.3">
      <c r="A7" s="109"/>
      <c r="B7" s="113" t="s">
        <v>133</v>
      </c>
      <c r="C7" s="111"/>
      <c r="D7" s="112"/>
      <c r="E7" s="65"/>
      <c r="F7" s="90"/>
      <c r="I7" s="484"/>
      <c r="J7" s="484"/>
      <c r="K7" s="484"/>
      <c r="L7" s="484"/>
      <c r="M7" s="484"/>
      <c r="N7" s="484"/>
    </row>
    <row r="8" spans="1:14" x14ac:dyDescent="0.3">
      <c r="A8" s="109">
        <v>4</v>
      </c>
      <c r="B8" s="110" t="s">
        <v>134</v>
      </c>
      <c r="C8" s="111">
        <v>3</v>
      </c>
      <c r="D8" s="112">
        <v>9000</v>
      </c>
      <c r="E8" s="65">
        <f t="shared" si="0"/>
        <v>27000</v>
      </c>
      <c r="F8" s="90">
        <v>5</v>
      </c>
      <c r="I8" s="484"/>
      <c r="J8" s="484"/>
      <c r="K8" s="484"/>
      <c r="L8" s="484"/>
      <c r="M8" s="484"/>
      <c r="N8" s="484"/>
    </row>
    <row r="9" spans="1:14" x14ac:dyDescent="0.3">
      <c r="A9" s="109">
        <v>5</v>
      </c>
      <c r="B9" s="110" t="s">
        <v>135</v>
      </c>
      <c r="C9" s="111">
        <v>1</v>
      </c>
      <c r="D9" s="112">
        <v>9000</v>
      </c>
      <c r="E9" s="65">
        <f t="shared" si="0"/>
        <v>9000</v>
      </c>
      <c r="F9" s="90">
        <v>5</v>
      </c>
      <c r="I9" s="484"/>
      <c r="J9" s="484"/>
      <c r="K9" s="484"/>
      <c r="L9" s="484"/>
      <c r="M9" s="484"/>
      <c r="N9" s="484"/>
    </row>
    <row r="10" spans="1:14" x14ac:dyDescent="0.3">
      <c r="A10" s="109">
        <v>6</v>
      </c>
      <c r="B10" s="110" t="s">
        <v>136</v>
      </c>
      <c r="C10" s="111">
        <v>2</v>
      </c>
      <c r="D10" s="112">
        <v>305000</v>
      </c>
      <c r="E10" s="65">
        <f t="shared" si="0"/>
        <v>610000</v>
      </c>
      <c r="F10" s="90">
        <v>7</v>
      </c>
      <c r="I10" s="484"/>
      <c r="J10" s="484"/>
      <c r="K10" s="484"/>
      <c r="L10" s="484"/>
      <c r="M10" s="484"/>
      <c r="N10" s="484"/>
    </row>
    <row r="11" spans="1:14" x14ac:dyDescent="0.3">
      <c r="A11" s="109">
        <v>7</v>
      </c>
      <c r="B11" s="110" t="s">
        <v>137</v>
      </c>
      <c r="C11" s="111">
        <v>4</v>
      </c>
      <c r="D11" s="112">
        <v>18000</v>
      </c>
      <c r="E11" s="65">
        <f t="shared" si="0"/>
        <v>72000</v>
      </c>
      <c r="F11" s="90">
        <v>7</v>
      </c>
      <c r="I11" s="484"/>
      <c r="J11" s="484"/>
      <c r="K11" s="484"/>
      <c r="L11" s="484"/>
      <c r="M11" s="484"/>
      <c r="N11" s="484"/>
    </row>
    <row r="12" spans="1:14" x14ac:dyDescent="0.3">
      <c r="A12" s="109"/>
      <c r="B12" s="113" t="s">
        <v>138</v>
      </c>
      <c r="C12" s="111"/>
      <c r="D12" s="112"/>
      <c r="E12" s="65"/>
      <c r="F12" s="90"/>
      <c r="I12" s="484"/>
      <c r="J12" s="484"/>
      <c r="K12" s="484"/>
      <c r="L12" s="484"/>
      <c r="M12" s="484"/>
      <c r="N12" s="484"/>
    </row>
    <row r="13" spans="1:14" x14ac:dyDescent="0.3">
      <c r="A13" s="109">
        <v>8</v>
      </c>
      <c r="B13" s="110" t="s">
        <v>139</v>
      </c>
      <c r="C13" s="111">
        <v>1</v>
      </c>
      <c r="D13" s="112">
        <v>93000</v>
      </c>
      <c r="E13" s="65">
        <f t="shared" si="0"/>
        <v>93000</v>
      </c>
      <c r="F13" s="90">
        <v>6</v>
      </c>
      <c r="I13" s="484"/>
      <c r="J13" s="484"/>
      <c r="K13" s="484"/>
      <c r="L13" s="484"/>
      <c r="M13" s="484"/>
      <c r="N13" s="484"/>
    </row>
    <row r="14" spans="1:14" x14ac:dyDescent="0.3">
      <c r="A14" s="109">
        <v>9</v>
      </c>
      <c r="B14" s="110" t="s">
        <v>140</v>
      </c>
      <c r="C14" s="111">
        <v>1</v>
      </c>
      <c r="D14" s="112">
        <v>145000</v>
      </c>
      <c r="E14" s="65">
        <f t="shared" si="0"/>
        <v>145000</v>
      </c>
      <c r="F14" s="90">
        <v>6</v>
      </c>
      <c r="I14" s="484"/>
      <c r="J14" s="484"/>
      <c r="K14" s="484"/>
      <c r="L14" s="484"/>
      <c r="M14" s="484"/>
      <c r="N14" s="484"/>
    </row>
    <row r="15" spans="1:14" x14ac:dyDescent="0.3">
      <c r="A15" s="109">
        <v>10</v>
      </c>
      <c r="B15" s="110" t="s">
        <v>141</v>
      </c>
      <c r="C15" s="111">
        <v>1</v>
      </c>
      <c r="D15" s="112">
        <v>13500</v>
      </c>
      <c r="E15" s="65">
        <f t="shared" si="0"/>
        <v>13500</v>
      </c>
      <c r="F15" s="90">
        <v>7</v>
      </c>
      <c r="I15" s="484"/>
      <c r="J15" s="484"/>
      <c r="K15" s="484"/>
      <c r="L15" s="484"/>
      <c r="M15" s="484"/>
      <c r="N15" s="484"/>
    </row>
    <row r="16" spans="1:14" x14ac:dyDescent="0.3">
      <c r="A16" s="109"/>
      <c r="B16" s="113" t="s">
        <v>142</v>
      </c>
      <c r="C16" s="111"/>
      <c r="D16" s="112"/>
      <c r="E16" s="65"/>
      <c r="F16" s="90"/>
      <c r="I16" s="484"/>
      <c r="J16" s="484"/>
      <c r="K16" s="484"/>
      <c r="L16" s="484"/>
      <c r="M16" s="484"/>
      <c r="N16" s="484"/>
    </row>
    <row r="17" spans="1:14" x14ac:dyDescent="0.3">
      <c r="A17" s="109">
        <v>11</v>
      </c>
      <c r="B17" s="110" t="s">
        <v>143</v>
      </c>
      <c r="C17" s="111">
        <v>3</v>
      </c>
      <c r="D17" s="112">
        <v>94000</v>
      </c>
      <c r="E17" s="65">
        <f t="shared" si="0"/>
        <v>282000</v>
      </c>
      <c r="F17" s="90">
        <v>7</v>
      </c>
      <c r="I17" s="484"/>
      <c r="J17" s="484"/>
      <c r="K17" s="484"/>
      <c r="L17" s="484"/>
      <c r="M17" s="484"/>
      <c r="N17" s="484"/>
    </row>
    <row r="18" spans="1:14" x14ac:dyDescent="0.3">
      <c r="A18" s="109">
        <v>12</v>
      </c>
      <c r="B18" s="110" t="s">
        <v>144</v>
      </c>
      <c r="C18" s="111">
        <v>2</v>
      </c>
      <c r="D18" s="112">
        <v>73000</v>
      </c>
      <c r="E18" s="65">
        <f t="shared" si="0"/>
        <v>146000</v>
      </c>
      <c r="F18" s="90">
        <v>7</v>
      </c>
      <c r="I18" s="484"/>
      <c r="J18" s="484"/>
      <c r="K18" s="484"/>
      <c r="L18" s="484"/>
      <c r="M18" s="484"/>
      <c r="N18" s="484"/>
    </row>
    <row r="19" spans="1:14" x14ac:dyDescent="0.3">
      <c r="A19" s="109">
        <v>13</v>
      </c>
      <c r="B19" s="110" t="s">
        <v>145</v>
      </c>
      <c r="C19" s="111">
        <v>1</v>
      </c>
      <c r="D19" s="112">
        <v>195000</v>
      </c>
      <c r="E19" s="65">
        <f t="shared" si="0"/>
        <v>195000</v>
      </c>
      <c r="F19" s="90">
        <v>7</v>
      </c>
      <c r="I19" s="484"/>
      <c r="J19" s="484"/>
      <c r="K19" s="484"/>
      <c r="L19" s="484"/>
      <c r="M19" s="484"/>
      <c r="N19" s="484"/>
    </row>
    <row r="20" spans="1:14" x14ac:dyDescent="0.3">
      <c r="A20" s="109">
        <v>14</v>
      </c>
      <c r="B20" s="110" t="s">
        <v>134</v>
      </c>
      <c r="C20" s="111">
        <v>2</v>
      </c>
      <c r="D20" s="112">
        <v>8800</v>
      </c>
      <c r="E20" s="65">
        <f t="shared" si="0"/>
        <v>17600</v>
      </c>
      <c r="F20" s="90">
        <v>5</v>
      </c>
      <c r="I20" s="484"/>
      <c r="J20" s="484"/>
      <c r="K20" s="484"/>
      <c r="L20" s="484"/>
      <c r="M20" s="484"/>
      <c r="N20" s="484"/>
    </row>
    <row r="21" spans="1:14" x14ac:dyDescent="0.3">
      <c r="A21" s="109">
        <v>15</v>
      </c>
      <c r="B21" s="110" t="s">
        <v>146</v>
      </c>
      <c r="C21" s="111">
        <v>1</v>
      </c>
      <c r="D21" s="112">
        <v>59400</v>
      </c>
      <c r="E21" s="65">
        <f t="shared" si="0"/>
        <v>59400</v>
      </c>
      <c r="F21" s="90">
        <v>5</v>
      </c>
      <c r="I21" s="484"/>
      <c r="J21" s="484"/>
      <c r="K21" s="484"/>
      <c r="L21" s="484"/>
      <c r="M21" s="484"/>
      <c r="N21" s="484"/>
    </row>
    <row r="22" spans="1:14" x14ac:dyDescent="0.3">
      <c r="A22" s="109">
        <v>16</v>
      </c>
      <c r="B22" s="110" t="s">
        <v>147</v>
      </c>
      <c r="C22" s="111">
        <v>1</v>
      </c>
      <c r="D22" s="112">
        <v>26600</v>
      </c>
      <c r="E22" s="65">
        <f t="shared" si="0"/>
        <v>26600</v>
      </c>
      <c r="F22" s="90">
        <v>5</v>
      </c>
      <c r="I22" s="484"/>
      <c r="J22" s="484"/>
      <c r="K22" s="484"/>
      <c r="L22" s="484"/>
      <c r="M22" s="484"/>
      <c r="N22" s="484"/>
    </row>
    <row r="23" spans="1:14" x14ac:dyDescent="0.3">
      <c r="A23" s="109"/>
      <c r="B23" s="113" t="s">
        <v>148</v>
      </c>
      <c r="C23" s="111"/>
      <c r="D23" s="112"/>
      <c r="E23" s="65"/>
      <c r="F23" s="90"/>
      <c r="I23" s="484"/>
      <c r="J23" s="484"/>
      <c r="K23" s="484"/>
      <c r="L23" s="484"/>
      <c r="M23" s="484"/>
      <c r="N23" s="484"/>
    </row>
    <row r="24" spans="1:14" x14ac:dyDescent="0.3">
      <c r="A24" s="109">
        <v>17</v>
      </c>
      <c r="B24" s="110" t="s">
        <v>149</v>
      </c>
      <c r="C24" s="111">
        <v>1</v>
      </c>
      <c r="D24" s="112">
        <v>200000</v>
      </c>
      <c r="E24" s="65">
        <f t="shared" si="0"/>
        <v>200000</v>
      </c>
      <c r="F24" s="90">
        <v>7</v>
      </c>
      <c r="I24" s="484"/>
      <c r="J24" s="484"/>
      <c r="K24" s="484"/>
      <c r="L24" s="484"/>
      <c r="M24" s="484"/>
      <c r="N24" s="484"/>
    </row>
    <row r="25" spans="1:14" x14ac:dyDescent="0.3">
      <c r="A25" s="109">
        <v>18</v>
      </c>
      <c r="B25" s="110" t="s">
        <v>150</v>
      </c>
      <c r="C25" s="111">
        <v>1</v>
      </c>
      <c r="D25" s="112">
        <v>25000</v>
      </c>
      <c r="E25" s="65">
        <f t="shared" si="0"/>
        <v>25000</v>
      </c>
      <c r="F25" s="90">
        <v>7</v>
      </c>
    </row>
    <row r="26" spans="1:14" x14ac:dyDescent="0.3">
      <c r="A26" s="109">
        <v>19</v>
      </c>
      <c r="B26" s="110" t="s">
        <v>151</v>
      </c>
      <c r="C26" s="111">
        <v>1</v>
      </c>
      <c r="D26" s="112">
        <v>47800</v>
      </c>
      <c r="E26" s="65">
        <f t="shared" si="0"/>
        <v>47800</v>
      </c>
      <c r="F26" s="90">
        <v>7</v>
      </c>
    </row>
    <row r="27" spans="1:14" x14ac:dyDescent="0.3">
      <c r="A27" s="109">
        <v>20</v>
      </c>
      <c r="B27" s="110" t="s">
        <v>152</v>
      </c>
      <c r="C27" s="111">
        <v>1</v>
      </c>
      <c r="D27" s="112">
        <v>42300</v>
      </c>
      <c r="E27" s="65">
        <f t="shared" si="0"/>
        <v>42300</v>
      </c>
      <c r="F27" s="90">
        <v>7</v>
      </c>
    </row>
    <row r="28" spans="1:14" x14ac:dyDescent="0.3">
      <c r="A28" s="109">
        <v>21</v>
      </c>
      <c r="B28" s="110" t="s">
        <v>134</v>
      </c>
      <c r="C28" s="111">
        <v>2</v>
      </c>
      <c r="D28" s="112">
        <v>8800</v>
      </c>
      <c r="E28" s="65">
        <f t="shared" si="0"/>
        <v>17600</v>
      </c>
      <c r="F28" s="90">
        <v>5</v>
      </c>
    </row>
    <row r="29" spans="1:14" x14ac:dyDescent="0.3">
      <c r="A29" s="109"/>
      <c r="B29" s="113" t="s">
        <v>153</v>
      </c>
      <c r="C29" s="111"/>
      <c r="D29" s="112"/>
      <c r="E29" s="65"/>
      <c r="F29" s="90"/>
    </row>
    <row r="30" spans="1:14" x14ac:dyDescent="0.3">
      <c r="A30" s="109">
        <v>22</v>
      </c>
      <c r="B30" s="110" t="s">
        <v>154</v>
      </c>
      <c r="C30" s="111">
        <v>1</v>
      </c>
      <c r="D30" s="112">
        <v>175000</v>
      </c>
      <c r="E30" s="65">
        <f t="shared" si="0"/>
        <v>175000</v>
      </c>
      <c r="F30" s="90">
        <v>5</v>
      </c>
    </row>
    <row r="31" spans="1:14" x14ac:dyDescent="0.3">
      <c r="A31" s="109">
        <v>23</v>
      </c>
      <c r="B31" s="110" t="s">
        <v>155</v>
      </c>
      <c r="C31" s="111">
        <v>1</v>
      </c>
      <c r="D31" s="112">
        <v>80000</v>
      </c>
      <c r="E31" s="65">
        <f t="shared" si="0"/>
        <v>80000</v>
      </c>
      <c r="F31" s="90">
        <v>5</v>
      </c>
    </row>
    <row r="32" spans="1:14" x14ac:dyDescent="0.3">
      <c r="A32" s="109">
        <v>24</v>
      </c>
      <c r="B32" s="110" t="s">
        <v>156</v>
      </c>
      <c r="C32" s="111">
        <v>1</v>
      </c>
      <c r="D32" s="112">
        <v>72500</v>
      </c>
      <c r="E32" s="65">
        <f t="shared" si="0"/>
        <v>72500</v>
      </c>
      <c r="F32" s="90">
        <v>5</v>
      </c>
    </row>
    <row r="33" spans="1:6" x14ac:dyDescent="0.3">
      <c r="A33" s="109"/>
      <c r="B33" s="113" t="s">
        <v>157</v>
      </c>
      <c r="C33" s="111"/>
      <c r="D33" s="112"/>
      <c r="E33" s="65"/>
      <c r="F33" s="90"/>
    </row>
    <row r="34" spans="1:6" x14ac:dyDescent="0.3">
      <c r="A34" s="109">
        <v>25</v>
      </c>
      <c r="B34" s="110" t="s">
        <v>158</v>
      </c>
      <c r="C34" s="111">
        <v>1</v>
      </c>
      <c r="D34" s="112">
        <v>280000</v>
      </c>
      <c r="E34" s="65">
        <f t="shared" si="0"/>
        <v>280000</v>
      </c>
      <c r="F34" s="90">
        <v>6</v>
      </c>
    </row>
    <row r="35" spans="1:6" x14ac:dyDescent="0.3">
      <c r="A35" s="109"/>
      <c r="B35" s="113" t="s">
        <v>159</v>
      </c>
      <c r="C35" s="111"/>
      <c r="D35" s="112"/>
      <c r="E35" s="65"/>
      <c r="F35" s="90"/>
    </row>
    <row r="36" spans="1:6" x14ac:dyDescent="0.3">
      <c r="A36" s="109">
        <v>26</v>
      </c>
      <c r="B36" s="110" t="s">
        <v>160</v>
      </c>
      <c r="C36" s="111">
        <v>2</v>
      </c>
      <c r="D36" s="112">
        <v>12000</v>
      </c>
      <c r="E36" s="65">
        <f t="shared" si="0"/>
        <v>24000</v>
      </c>
      <c r="F36" s="90">
        <v>5</v>
      </c>
    </row>
    <row r="37" spans="1:6" x14ac:dyDescent="0.3">
      <c r="A37" s="109">
        <v>27</v>
      </c>
      <c r="B37" s="110" t="s">
        <v>161</v>
      </c>
      <c r="C37" s="111">
        <v>2</v>
      </c>
      <c r="D37" s="112">
        <v>560</v>
      </c>
      <c r="E37" s="65">
        <f t="shared" si="0"/>
        <v>1120</v>
      </c>
      <c r="F37" s="90">
        <v>5</v>
      </c>
    </row>
    <row r="38" spans="1:6" x14ac:dyDescent="0.3">
      <c r="A38" s="109">
        <v>28</v>
      </c>
      <c r="B38" s="110" t="s">
        <v>162</v>
      </c>
      <c r="C38" s="111">
        <v>2</v>
      </c>
      <c r="D38" s="112">
        <v>13800</v>
      </c>
      <c r="E38" s="65">
        <f t="shared" si="0"/>
        <v>27600</v>
      </c>
      <c r="F38" s="90">
        <v>5</v>
      </c>
    </row>
    <row r="39" spans="1:6" x14ac:dyDescent="0.3">
      <c r="A39" s="109"/>
      <c r="B39" s="113" t="s">
        <v>163</v>
      </c>
      <c r="C39" s="111"/>
      <c r="D39" s="112"/>
      <c r="E39" s="65"/>
      <c r="F39" s="90"/>
    </row>
    <row r="40" spans="1:6" x14ac:dyDescent="0.3">
      <c r="A40" s="109">
        <v>29</v>
      </c>
      <c r="B40" s="110" t="s">
        <v>164</v>
      </c>
      <c r="C40" s="111">
        <v>150</v>
      </c>
      <c r="D40" s="112">
        <v>280</v>
      </c>
      <c r="E40" s="65">
        <f t="shared" si="0"/>
        <v>42000</v>
      </c>
      <c r="F40" s="90">
        <v>7</v>
      </c>
    </row>
    <row r="41" spans="1:6" x14ac:dyDescent="0.3">
      <c r="A41" s="109">
        <v>30</v>
      </c>
      <c r="B41" s="110" t="s">
        <v>165</v>
      </c>
      <c r="C41" s="111">
        <v>35</v>
      </c>
      <c r="D41" s="112">
        <v>330</v>
      </c>
      <c r="E41" s="65">
        <f t="shared" si="0"/>
        <v>11550</v>
      </c>
      <c r="F41" s="90">
        <v>7</v>
      </c>
    </row>
    <row r="42" spans="1:6" x14ac:dyDescent="0.3">
      <c r="A42" s="109">
        <v>31</v>
      </c>
      <c r="B42" s="110" t="s">
        <v>166</v>
      </c>
      <c r="C42" s="111">
        <v>18</v>
      </c>
      <c r="D42" s="112">
        <v>300</v>
      </c>
      <c r="E42" s="65">
        <f t="shared" si="0"/>
        <v>5400</v>
      </c>
      <c r="F42" s="90">
        <v>7</v>
      </c>
    </row>
    <row r="43" spans="1:6" x14ac:dyDescent="0.3">
      <c r="A43" s="109">
        <v>32</v>
      </c>
      <c r="B43" s="110" t="s">
        <v>167</v>
      </c>
      <c r="C43" s="111">
        <v>18</v>
      </c>
      <c r="D43" s="112">
        <v>200</v>
      </c>
      <c r="E43" s="65">
        <f t="shared" si="0"/>
        <v>3600</v>
      </c>
      <c r="F43" s="90">
        <v>7</v>
      </c>
    </row>
    <row r="44" spans="1:6" x14ac:dyDescent="0.3">
      <c r="A44" s="109">
        <v>33</v>
      </c>
      <c r="B44" s="110" t="s">
        <v>168</v>
      </c>
      <c r="C44" s="111">
        <v>42</v>
      </c>
      <c r="D44" s="112">
        <v>250</v>
      </c>
      <c r="E44" s="65">
        <f t="shared" si="0"/>
        <v>10500</v>
      </c>
      <c r="F44" s="90">
        <v>7</v>
      </c>
    </row>
    <row r="45" spans="1:6" x14ac:dyDescent="0.3">
      <c r="A45" s="109">
        <v>34</v>
      </c>
      <c r="B45" s="110" t="s">
        <v>169</v>
      </c>
      <c r="C45" s="111">
        <v>130</v>
      </c>
      <c r="D45" s="112">
        <v>100</v>
      </c>
      <c r="E45" s="65">
        <f t="shared" si="0"/>
        <v>13000</v>
      </c>
      <c r="F45" s="90">
        <v>7</v>
      </c>
    </row>
    <row r="46" spans="1:6" x14ac:dyDescent="0.3">
      <c r="A46" s="109">
        <v>35</v>
      </c>
      <c r="B46" s="110" t="s">
        <v>170</v>
      </c>
      <c r="C46" s="111">
        <v>45</v>
      </c>
      <c r="D46" s="112">
        <v>100</v>
      </c>
      <c r="E46" s="65">
        <f t="shared" si="0"/>
        <v>4500</v>
      </c>
      <c r="F46" s="90">
        <v>7</v>
      </c>
    </row>
    <row r="47" spans="1:6" x14ac:dyDescent="0.3">
      <c r="A47" s="109">
        <v>36</v>
      </c>
      <c r="B47" s="110" t="s">
        <v>171</v>
      </c>
      <c r="C47" s="111">
        <v>15</v>
      </c>
      <c r="D47" s="112">
        <v>100</v>
      </c>
      <c r="E47" s="65">
        <f t="shared" si="0"/>
        <v>1500</v>
      </c>
      <c r="F47" s="90">
        <v>7</v>
      </c>
    </row>
    <row r="48" spans="1:6" x14ac:dyDescent="0.3">
      <c r="A48" s="109">
        <v>37</v>
      </c>
      <c r="B48" s="110" t="s">
        <v>172</v>
      </c>
      <c r="C48" s="111">
        <v>41</v>
      </c>
      <c r="D48" s="112">
        <v>100</v>
      </c>
      <c r="E48" s="65">
        <f t="shared" si="0"/>
        <v>4100</v>
      </c>
      <c r="F48" s="90">
        <v>7</v>
      </c>
    </row>
    <row r="49" spans="1:6" x14ac:dyDescent="0.3">
      <c r="A49" s="109">
        <v>38</v>
      </c>
      <c r="B49" s="110" t="s">
        <v>173</v>
      </c>
      <c r="C49" s="111">
        <v>77</v>
      </c>
      <c r="D49" s="112">
        <v>750</v>
      </c>
      <c r="E49" s="65">
        <f t="shared" si="0"/>
        <v>57750</v>
      </c>
      <c r="F49" s="90">
        <v>7</v>
      </c>
    </row>
    <row r="50" spans="1:6" x14ac:dyDescent="0.3">
      <c r="A50" s="109">
        <v>39</v>
      </c>
      <c r="B50" s="110" t="s">
        <v>174</v>
      </c>
      <c r="C50" s="111">
        <v>19</v>
      </c>
      <c r="D50" s="112">
        <v>800</v>
      </c>
      <c r="E50" s="65">
        <f t="shared" si="0"/>
        <v>15200</v>
      </c>
      <c r="F50" s="90">
        <v>7</v>
      </c>
    </row>
    <row r="51" spans="1:6" x14ac:dyDescent="0.3">
      <c r="A51" s="109">
        <v>40</v>
      </c>
      <c r="B51" s="110" t="s">
        <v>175</v>
      </c>
      <c r="C51" s="111">
        <v>30</v>
      </c>
      <c r="D51" s="112">
        <v>350</v>
      </c>
      <c r="E51" s="65">
        <f t="shared" si="0"/>
        <v>10500</v>
      </c>
      <c r="F51" s="90">
        <v>7</v>
      </c>
    </row>
    <row r="52" spans="1:6" x14ac:dyDescent="0.3">
      <c r="A52" s="109">
        <v>41</v>
      </c>
      <c r="B52" s="110" t="s">
        <v>176</v>
      </c>
      <c r="C52" s="111">
        <v>19</v>
      </c>
      <c r="D52" s="112">
        <v>400</v>
      </c>
      <c r="E52" s="65">
        <f t="shared" si="0"/>
        <v>7600</v>
      </c>
      <c r="F52" s="90">
        <v>7</v>
      </c>
    </row>
    <row r="53" spans="1:6" x14ac:dyDescent="0.3">
      <c r="A53" s="109">
        <v>42</v>
      </c>
      <c r="B53" s="110" t="s">
        <v>177</v>
      </c>
      <c r="C53" s="111">
        <v>77</v>
      </c>
      <c r="D53" s="112">
        <v>120</v>
      </c>
      <c r="E53" s="65">
        <f t="shared" si="0"/>
        <v>9240</v>
      </c>
      <c r="F53" s="90">
        <v>7</v>
      </c>
    </row>
    <row r="54" spans="1:6" x14ac:dyDescent="0.3">
      <c r="A54" s="109">
        <v>43</v>
      </c>
      <c r="B54" s="110" t="s">
        <v>178</v>
      </c>
      <c r="C54" s="111">
        <v>19</v>
      </c>
      <c r="D54" s="112">
        <v>140</v>
      </c>
      <c r="E54" s="65">
        <f t="shared" si="0"/>
        <v>2660</v>
      </c>
      <c r="F54" s="90">
        <v>7</v>
      </c>
    </row>
    <row r="55" spans="1:6" x14ac:dyDescent="0.3">
      <c r="A55" s="109">
        <v>44</v>
      </c>
      <c r="B55" s="110" t="s">
        <v>179</v>
      </c>
      <c r="C55" s="111">
        <v>40</v>
      </c>
      <c r="D55" s="112">
        <v>10</v>
      </c>
      <c r="E55" s="65">
        <f t="shared" si="0"/>
        <v>400</v>
      </c>
      <c r="F55" s="90">
        <v>7</v>
      </c>
    </row>
    <row r="56" spans="1:6" x14ac:dyDescent="0.3">
      <c r="A56" s="109">
        <v>45</v>
      </c>
      <c r="B56" s="110" t="s">
        <v>180</v>
      </c>
      <c r="C56" s="111">
        <v>50</v>
      </c>
      <c r="D56" s="112">
        <v>15</v>
      </c>
      <c r="E56" s="65">
        <f t="shared" si="0"/>
        <v>750</v>
      </c>
      <c r="F56" s="90">
        <v>7</v>
      </c>
    </row>
    <row r="57" spans="1:6" x14ac:dyDescent="0.3">
      <c r="A57" s="109">
        <v>46</v>
      </c>
      <c r="B57" s="110" t="s">
        <v>181</v>
      </c>
      <c r="C57" s="111">
        <v>77</v>
      </c>
      <c r="D57" s="112">
        <v>80</v>
      </c>
      <c r="E57" s="65">
        <f t="shared" si="0"/>
        <v>6160</v>
      </c>
      <c r="F57" s="90">
        <v>7</v>
      </c>
    </row>
    <row r="58" spans="1:6" x14ac:dyDescent="0.3">
      <c r="A58" s="109">
        <v>47</v>
      </c>
      <c r="B58" s="110" t="s">
        <v>182</v>
      </c>
      <c r="C58" s="111">
        <v>19</v>
      </c>
      <c r="D58" s="112">
        <v>90</v>
      </c>
      <c r="E58" s="65">
        <f t="shared" si="0"/>
        <v>1710</v>
      </c>
      <c r="F58" s="90">
        <v>7</v>
      </c>
    </row>
    <row r="59" spans="1:6" x14ac:dyDescent="0.3">
      <c r="A59" s="109">
        <v>48</v>
      </c>
      <c r="B59" s="110" t="s">
        <v>183</v>
      </c>
      <c r="C59" s="111">
        <v>10</v>
      </c>
      <c r="D59" s="112">
        <v>120</v>
      </c>
      <c r="E59" s="65">
        <f t="shared" si="0"/>
        <v>1200</v>
      </c>
      <c r="F59" s="90">
        <v>7</v>
      </c>
    </row>
    <row r="60" spans="1:6" x14ac:dyDescent="0.3">
      <c r="A60" s="109">
        <v>49</v>
      </c>
      <c r="B60" s="110" t="s">
        <v>184</v>
      </c>
      <c r="C60" s="111">
        <v>30</v>
      </c>
      <c r="D60" s="112">
        <v>110</v>
      </c>
      <c r="E60" s="65">
        <f t="shared" si="0"/>
        <v>3300</v>
      </c>
      <c r="F60" s="90">
        <v>7</v>
      </c>
    </row>
    <row r="61" spans="1:6" x14ac:dyDescent="0.3">
      <c r="A61" s="109">
        <v>50</v>
      </c>
      <c r="B61" s="110" t="s">
        <v>185</v>
      </c>
      <c r="C61" s="111">
        <v>1</v>
      </c>
      <c r="D61" s="112">
        <v>1000</v>
      </c>
      <c r="E61" s="65">
        <f t="shared" si="0"/>
        <v>1000</v>
      </c>
      <c r="F61" s="90">
        <v>7</v>
      </c>
    </row>
    <row r="62" spans="1:6" x14ac:dyDescent="0.3">
      <c r="A62" s="109">
        <v>51</v>
      </c>
      <c r="B62" s="110" t="s">
        <v>186</v>
      </c>
      <c r="C62" s="111">
        <v>1</v>
      </c>
      <c r="D62" s="112">
        <v>1000</v>
      </c>
      <c r="E62" s="65">
        <f t="shared" si="0"/>
        <v>1000</v>
      </c>
      <c r="F62" s="90">
        <v>7</v>
      </c>
    </row>
    <row r="63" spans="1:6" x14ac:dyDescent="0.3">
      <c r="A63" s="109">
        <v>52</v>
      </c>
      <c r="B63" s="110" t="s">
        <v>187</v>
      </c>
      <c r="C63" s="111">
        <v>12</v>
      </c>
      <c r="D63" s="112">
        <v>90</v>
      </c>
      <c r="E63" s="65">
        <f t="shared" si="0"/>
        <v>1080</v>
      </c>
      <c r="F63" s="90">
        <v>7</v>
      </c>
    </row>
    <row r="64" spans="1:6" x14ac:dyDescent="0.3">
      <c r="A64" s="109">
        <v>53</v>
      </c>
      <c r="B64" s="110" t="s">
        <v>188</v>
      </c>
      <c r="C64" s="111">
        <v>50</v>
      </c>
      <c r="D64" s="112">
        <v>60</v>
      </c>
      <c r="E64" s="65">
        <f t="shared" si="0"/>
        <v>3000</v>
      </c>
      <c r="F64" s="90">
        <v>7</v>
      </c>
    </row>
    <row r="65" spans="1:6" x14ac:dyDescent="0.3">
      <c r="A65" s="109">
        <v>54</v>
      </c>
      <c r="B65" s="110" t="s">
        <v>189</v>
      </c>
      <c r="C65" s="111">
        <v>20</v>
      </c>
      <c r="D65" s="112">
        <v>70</v>
      </c>
      <c r="E65" s="65">
        <f t="shared" si="0"/>
        <v>1400</v>
      </c>
      <c r="F65" s="90">
        <v>7</v>
      </c>
    </row>
    <row r="66" spans="1:6" x14ac:dyDescent="0.3">
      <c r="A66" s="109"/>
      <c r="B66" s="113" t="s">
        <v>190</v>
      </c>
      <c r="C66" s="111"/>
      <c r="D66" s="112"/>
      <c r="E66" s="65"/>
      <c r="F66" s="90"/>
    </row>
    <row r="67" spans="1:6" x14ac:dyDescent="0.3">
      <c r="A67" s="109">
        <v>55</v>
      </c>
      <c r="B67" s="110" t="s">
        <v>191</v>
      </c>
      <c r="C67" s="111">
        <v>100</v>
      </c>
      <c r="D67" s="112">
        <v>280</v>
      </c>
      <c r="E67" s="65">
        <f t="shared" si="0"/>
        <v>28000</v>
      </c>
      <c r="F67" s="90">
        <v>7</v>
      </c>
    </row>
    <row r="68" spans="1:6" x14ac:dyDescent="0.3">
      <c r="A68" s="109">
        <v>56</v>
      </c>
      <c r="B68" s="110" t="s">
        <v>192</v>
      </c>
      <c r="C68" s="111">
        <v>120</v>
      </c>
      <c r="D68" s="112">
        <v>230</v>
      </c>
      <c r="E68" s="65">
        <f t="shared" si="0"/>
        <v>27600</v>
      </c>
      <c r="F68" s="90">
        <v>7</v>
      </c>
    </row>
    <row r="69" spans="1:6" x14ac:dyDescent="0.3">
      <c r="A69" s="109"/>
      <c r="B69" s="113" t="s">
        <v>193</v>
      </c>
      <c r="C69" s="111"/>
      <c r="D69" s="112"/>
      <c r="E69" s="65"/>
      <c r="F69" s="90"/>
    </row>
    <row r="70" spans="1:6" x14ac:dyDescent="0.3">
      <c r="A70" s="109">
        <v>57</v>
      </c>
      <c r="B70" s="110" t="s">
        <v>194</v>
      </c>
      <c r="C70" s="111">
        <v>1</v>
      </c>
      <c r="D70" s="112">
        <v>90000</v>
      </c>
      <c r="E70" s="65">
        <v>90000</v>
      </c>
      <c r="F70" s="90">
        <v>7</v>
      </c>
    </row>
    <row r="71" spans="1:6" x14ac:dyDescent="0.3">
      <c r="A71" s="109"/>
      <c r="B71" s="113" t="s">
        <v>195</v>
      </c>
      <c r="C71" s="111"/>
      <c r="D71" s="112"/>
      <c r="E71" s="65"/>
      <c r="F71" s="90"/>
    </row>
    <row r="72" spans="1:6" x14ac:dyDescent="0.3">
      <c r="A72" s="109">
        <v>28</v>
      </c>
      <c r="B72" s="110" t="s">
        <v>196</v>
      </c>
      <c r="C72" s="111">
        <v>1</v>
      </c>
      <c r="D72" s="112">
        <v>85000</v>
      </c>
      <c r="E72" s="65">
        <f t="shared" ref="E72:E75" si="2">C72*D72</f>
        <v>85000</v>
      </c>
      <c r="F72" s="90">
        <v>7</v>
      </c>
    </row>
    <row r="73" spans="1:6" x14ac:dyDescent="0.3">
      <c r="A73" s="109">
        <v>29</v>
      </c>
      <c r="B73" s="110" t="s">
        <v>197</v>
      </c>
      <c r="C73" s="111">
        <v>1</v>
      </c>
      <c r="D73" s="112">
        <v>250000</v>
      </c>
      <c r="E73" s="65">
        <f t="shared" si="2"/>
        <v>250000</v>
      </c>
      <c r="F73" s="90">
        <v>7</v>
      </c>
    </row>
    <row r="74" spans="1:6" x14ac:dyDescent="0.3">
      <c r="A74" s="109">
        <v>60</v>
      </c>
      <c r="B74" s="110" t="s">
        <v>198</v>
      </c>
      <c r="C74" s="111">
        <v>1</v>
      </c>
      <c r="D74" s="112">
        <v>55000</v>
      </c>
      <c r="E74" s="65">
        <f t="shared" si="2"/>
        <v>55000</v>
      </c>
      <c r="F74" s="90">
        <v>7</v>
      </c>
    </row>
    <row r="75" spans="1:6" x14ac:dyDescent="0.3">
      <c r="A75" s="109">
        <v>61</v>
      </c>
      <c r="B75" s="110" t="s">
        <v>199</v>
      </c>
      <c r="C75" s="111">
        <v>1</v>
      </c>
      <c r="D75" s="112">
        <v>120000</v>
      </c>
      <c r="E75" s="65">
        <f t="shared" si="2"/>
        <v>120000</v>
      </c>
      <c r="F75" s="90">
        <v>7</v>
      </c>
    </row>
    <row r="76" spans="1:6" s="2" customFormat="1" x14ac:dyDescent="0.3">
      <c r="A76" s="119"/>
      <c r="B76" s="119" t="s">
        <v>200</v>
      </c>
      <c r="C76" s="119"/>
      <c r="D76" s="119"/>
      <c r="E76" s="129"/>
      <c r="F76" s="119"/>
    </row>
    <row r="77" spans="1:6" x14ac:dyDescent="0.3">
      <c r="A77" s="109">
        <v>62</v>
      </c>
      <c r="B77" s="90" t="s">
        <v>201</v>
      </c>
      <c r="C77" s="109">
        <v>1</v>
      </c>
      <c r="D77" s="112">
        <v>140000</v>
      </c>
      <c r="E77" s="65">
        <f t="shared" ref="E77:E80" si="3">C77*D77</f>
        <v>140000</v>
      </c>
      <c r="F77" s="90">
        <v>7</v>
      </c>
    </row>
    <row r="78" spans="1:6" x14ac:dyDescent="0.3">
      <c r="A78" s="109">
        <v>63</v>
      </c>
      <c r="B78" s="90" t="s">
        <v>202</v>
      </c>
      <c r="C78" s="109">
        <v>1</v>
      </c>
      <c r="D78" s="112">
        <v>40000</v>
      </c>
      <c r="E78" s="65">
        <f t="shared" si="3"/>
        <v>40000</v>
      </c>
      <c r="F78" s="90">
        <v>7</v>
      </c>
    </row>
    <row r="79" spans="1:6" x14ac:dyDescent="0.3">
      <c r="A79" s="109">
        <v>64</v>
      </c>
      <c r="B79" s="90" t="s">
        <v>203</v>
      </c>
      <c r="C79" s="109">
        <v>1</v>
      </c>
      <c r="D79" s="112">
        <v>20000</v>
      </c>
      <c r="E79" s="65">
        <v>20000</v>
      </c>
      <c r="F79" s="90">
        <v>7</v>
      </c>
    </row>
    <row r="80" spans="1:6" x14ac:dyDescent="0.3">
      <c r="A80" s="109">
        <v>65</v>
      </c>
      <c r="B80" s="110" t="s">
        <v>196</v>
      </c>
      <c r="C80" s="109">
        <v>1</v>
      </c>
      <c r="D80" s="112">
        <v>30000</v>
      </c>
      <c r="E80" s="65">
        <f t="shared" si="3"/>
        <v>30000</v>
      </c>
      <c r="F80" s="90">
        <v>7</v>
      </c>
    </row>
    <row r="81" spans="1:6" x14ac:dyDescent="0.3">
      <c r="A81" s="119"/>
      <c r="B81" s="119" t="s">
        <v>204</v>
      </c>
      <c r="C81" s="120"/>
      <c r="D81" s="119"/>
      <c r="E81" s="129"/>
      <c r="F81" s="90"/>
    </row>
    <row r="82" spans="1:6" x14ac:dyDescent="0.3">
      <c r="A82" s="109">
        <v>66</v>
      </c>
      <c r="B82" s="90" t="s">
        <v>205</v>
      </c>
      <c r="C82" s="109">
        <v>1</v>
      </c>
      <c r="D82" s="112">
        <v>300000</v>
      </c>
      <c r="E82" s="65">
        <f t="shared" ref="E82:E83" si="4">C82*D82</f>
        <v>300000</v>
      </c>
      <c r="F82" s="90">
        <v>20</v>
      </c>
    </row>
    <row r="83" spans="1:6" x14ac:dyDescent="0.3">
      <c r="A83" s="109">
        <v>67</v>
      </c>
      <c r="B83" s="90" t="s">
        <v>206</v>
      </c>
      <c r="C83" s="109">
        <v>1</v>
      </c>
      <c r="D83" s="112">
        <v>200000</v>
      </c>
      <c r="E83" s="65">
        <f t="shared" si="4"/>
        <v>200000</v>
      </c>
      <c r="F83" s="90">
        <v>20</v>
      </c>
    </row>
    <row r="84" spans="1:6" x14ac:dyDescent="0.3">
      <c r="A84" s="119"/>
      <c r="B84" s="119" t="s">
        <v>207</v>
      </c>
      <c r="C84" s="120"/>
      <c r="D84" s="119"/>
      <c r="E84" s="129"/>
      <c r="F84" s="90"/>
    </row>
    <row r="85" spans="1:6" x14ac:dyDescent="0.3">
      <c r="A85" s="109">
        <v>68</v>
      </c>
      <c r="B85" s="90" t="s">
        <v>24</v>
      </c>
      <c r="C85" s="109">
        <v>1</v>
      </c>
      <c r="D85" s="112">
        <v>700000</v>
      </c>
      <c r="E85" s="65">
        <f t="shared" ref="E85:E86" si="5">C85*D85</f>
        <v>700000</v>
      </c>
      <c r="F85" s="90">
        <v>7</v>
      </c>
    </row>
    <row r="86" spans="1:6" x14ac:dyDescent="0.3">
      <c r="A86" s="121">
        <v>69</v>
      </c>
      <c r="B86" s="122" t="s">
        <v>27</v>
      </c>
      <c r="C86" s="121">
        <v>1</v>
      </c>
      <c r="D86" s="123">
        <v>800000</v>
      </c>
      <c r="E86" s="124">
        <f t="shared" si="5"/>
        <v>800000</v>
      </c>
      <c r="F86" s="122">
        <v>7</v>
      </c>
    </row>
    <row r="87" spans="1:6" s="2" customFormat="1" x14ac:dyDescent="0.3">
      <c r="A87" s="66"/>
      <c r="B87" s="2" t="s">
        <v>63</v>
      </c>
      <c r="E87" s="67">
        <f>SUM(Інвестиції[Загальна вартість з ПДВ, грн.])</f>
        <v>5855720</v>
      </c>
    </row>
  </sheetData>
  <mergeCells count="4">
    <mergeCell ref="A1:F1"/>
    <mergeCell ref="I2:J2"/>
    <mergeCell ref="I3:K3"/>
    <mergeCell ref="I5:N24"/>
  </mergeCells>
  <pageMargins left="0.7" right="0.7" top="0.75" bottom="0.75" header="0.3" footer="0.3"/>
  <pageSetup paperSize="9" orientation="portrait" horizontalDpi="300" r:id="rId1"/>
  <ignoredErrors>
    <ignoredError sqref="E70 E79" calculatedColumn="1"/>
  </ignoredError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U43"/>
  <sheetViews>
    <sheetView workbookViewId="0">
      <selection activeCell="R18" sqref="R18"/>
    </sheetView>
  </sheetViews>
  <sheetFormatPr defaultColWidth="9.109375" defaultRowHeight="14.4" x14ac:dyDescent="0.3"/>
  <cols>
    <col min="1" max="1" width="29.44140625" style="251" customWidth="1"/>
    <col min="2" max="13" width="6.6640625" style="251" customWidth="1"/>
    <col min="14" max="16384" width="9.109375" style="251"/>
  </cols>
  <sheetData>
    <row r="1" spans="1:21" ht="15" thickBot="1" x14ac:dyDescent="0.35">
      <c r="A1" s="486" t="s">
        <v>208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</row>
    <row r="2" spans="1:21" x14ac:dyDescent="0.3">
      <c r="A2" s="487" t="s">
        <v>32</v>
      </c>
      <c r="B2" s="489" t="s">
        <v>33</v>
      </c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1"/>
      <c r="N2" s="492" t="s">
        <v>209</v>
      </c>
      <c r="P2" s="481" t="s">
        <v>127</v>
      </c>
      <c r="Q2" s="481"/>
      <c r="R2" s="431"/>
      <c r="S2" s="431"/>
      <c r="T2" s="431"/>
      <c r="U2" s="431"/>
    </row>
    <row r="3" spans="1:21" ht="15" thickBot="1" x14ac:dyDescent="0.35">
      <c r="A3" s="488"/>
      <c r="B3" s="249" t="s">
        <v>34</v>
      </c>
      <c r="C3" s="266" t="s">
        <v>35</v>
      </c>
      <c r="D3" s="266" t="s">
        <v>36</v>
      </c>
      <c r="E3" s="266" t="s">
        <v>37</v>
      </c>
      <c r="F3" s="266" t="s">
        <v>38</v>
      </c>
      <c r="G3" s="266" t="s">
        <v>39</v>
      </c>
      <c r="H3" s="266" t="s">
        <v>40</v>
      </c>
      <c r="I3" s="266" t="s">
        <v>41</v>
      </c>
      <c r="J3" s="266" t="s">
        <v>42</v>
      </c>
      <c r="K3" s="266" t="s">
        <v>43</v>
      </c>
      <c r="L3" s="266" t="s">
        <v>44</v>
      </c>
      <c r="M3" s="266" t="s">
        <v>45</v>
      </c>
      <c r="N3" s="493"/>
      <c r="P3" s="481" t="s">
        <v>212</v>
      </c>
      <c r="Q3" s="481"/>
      <c r="R3" s="482"/>
      <c r="S3" s="428"/>
      <c r="T3" s="431"/>
      <c r="U3" s="431"/>
    </row>
    <row r="4" spans="1:21" ht="22.8" x14ac:dyDescent="0.3">
      <c r="A4" s="164" t="s">
        <v>210</v>
      </c>
      <c r="B4" s="419">
        <f>SUM(B6:B12)</f>
        <v>20</v>
      </c>
      <c r="C4" s="419">
        <f t="shared" ref="C4:M4" si="0">SUM(C6:C12)</f>
        <v>3</v>
      </c>
      <c r="D4" s="419">
        <f t="shared" si="0"/>
        <v>3</v>
      </c>
      <c r="E4" s="419">
        <f t="shared" si="0"/>
        <v>10</v>
      </c>
      <c r="F4" s="419">
        <f t="shared" si="0"/>
        <v>10</v>
      </c>
      <c r="G4" s="419">
        <f t="shared" si="0"/>
        <v>10</v>
      </c>
      <c r="H4" s="419">
        <f t="shared" si="0"/>
        <v>10</v>
      </c>
      <c r="I4" s="419">
        <f t="shared" si="0"/>
        <v>5</v>
      </c>
      <c r="J4" s="419">
        <f t="shared" si="0"/>
        <v>10</v>
      </c>
      <c r="K4" s="419">
        <f t="shared" si="0"/>
        <v>5</v>
      </c>
      <c r="L4" s="419">
        <f t="shared" si="0"/>
        <v>5</v>
      </c>
      <c r="M4" s="419">
        <f t="shared" si="0"/>
        <v>5</v>
      </c>
      <c r="N4" s="420">
        <f>SUM(B4:M4)</f>
        <v>96</v>
      </c>
      <c r="P4" s="485" t="s">
        <v>213</v>
      </c>
      <c r="Q4" s="485"/>
      <c r="R4" s="485"/>
      <c r="S4" s="485"/>
      <c r="T4" s="485"/>
      <c r="U4" s="485"/>
    </row>
    <row r="5" spans="1:21" x14ac:dyDescent="0.3">
      <c r="A5" s="150" t="s">
        <v>211</v>
      </c>
      <c r="B5" s="421"/>
      <c r="C5" s="421"/>
      <c r="D5" s="421"/>
      <c r="E5" s="421"/>
      <c r="F5" s="421"/>
      <c r="G5" s="421"/>
      <c r="H5" s="421"/>
      <c r="I5" s="421"/>
      <c r="J5" s="421"/>
      <c r="K5" s="421"/>
      <c r="L5" s="421"/>
      <c r="M5" s="421"/>
      <c r="N5" s="422"/>
    </row>
    <row r="6" spans="1:21" ht="14.4" customHeight="1" x14ac:dyDescent="0.3">
      <c r="A6" s="423" t="str">
        <f>Довідник!$A$5</f>
        <v>Село 1</v>
      </c>
      <c r="B6" s="436">
        <v>10</v>
      </c>
      <c r="C6" s="436"/>
      <c r="D6" s="436"/>
      <c r="E6" s="436"/>
      <c r="F6" s="436"/>
      <c r="G6" s="436"/>
      <c r="H6" s="436"/>
      <c r="I6" s="436"/>
      <c r="J6" s="436"/>
      <c r="K6" s="436"/>
      <c r="L6" s="436"/>
      <c r="M6" s="436"/>
      <c r="N6" s="422">
        <f>SUM(B6:M6)</f>
        <v>10</v>
      </c>
      <c r="P6" s="494" t="s">
        <v>384</v>
      </c>
      <c r="Q6" s="494"/>
      <c r="R6" s="494"/>
      <c r="S6" s="494"/>
      <c r="T6" s="494"/>
      <c r="U6" s="494"/>
    </row>
    <row r="7" spans="1:21" ht="14.4" customHeight="1" x14ac:dyDescent="0.3">
      <c r="A7" s="423" t="str">
        <f>Довідник!$A$6</f>
        <v>Село 2</v>
      </c>
      <c r="B7" s="436">
        <v>10</v>
      </c>
      <c r="C7" s="436">
        <v>3</v>
      </c>
      <c r="D7" s="436">
        <v>3</v>
      </c>
      <c r="E7" s="436">
        <v>10</v>
      </c>
      <c r="F7" s="436">
        <v>10</v>
      </c>
      <c r="G7" s="436">
        <v>10</v>
      </c>
      <c r="H7" s="436">
        <v>5</v>
      </c>
      <c r="I7" s="436"/>
      <c r="J7" s="436"/>
      <c r="K7" s="436"/>
      <c r="L7" s="436"/>
      <c r="M7" s="436"/>
      <c r="N7" s="422">
        <f t="shared" ref="N7:N12" si="1">SUM(B7:M7)</f>
        <v>51</v>
      </c>
      <c r="P7" s="494"/>
      <c r="Q7" s="494"/>
      <c r="R7" s="494"/>
      <c r="S7" s="494"/>
      <c r="T7" s="494"/>
      <c r="U7" s="494"/>
    </row>
    <row r="8" spans="1:21" x14ac:dyDescent="0.3">
      <c r="A8" s="423" t="str">
        <f>Довідник!$A$7</f>
        <v>Село 3</v>
      </c>
      <c r="B8" s="436"/>
      <c r="C8" s="436"/>
      <c r="D8" s="436"/>
      <c r="E8" s="436"/>
      <c r="F8" s="436"/>
      <c r="G8" s="436"/>
      <c r="H8" s="436">
        <v>5</v>
      </c>
      <c r="I8" s="436">
        <v>5</v>
      </c>
      <c r="J8" s="436">
        <v>5</v>
      </c>
      <c r="K8" s="436"/>
      <c r="L8" s="436"/>
      <c r="M8" s="436"/>
      <c r="N8" s="422">
        <f t="shared" si="1"/>
        <v>15</v>
      </c>
      <c r="P8" s="494"/>
      <c r="Q8" s="494"/>
      <c r="R8" s="494"/>
      <c r="S8" s="494"/>
      <c r="T8" s="494"/>
      <c r="U8" s="494"/>
    </row>
    <row r="9" spans="1:21" x14ac:dyDescent="0.3">
      <c r="A9" s="423" t="str">
        <f>Довідник!$A$8</f>
        <v>Село 4</v>
      </c>
      <c r="B9" s="436"/>
      <c r="C9" s="436"/>
      <c r="D9" s="436"/>
      <c r="E9" s="436"/>
      <c r="F9" s="436"/>
      <c r="G9" s="436"/>
      <c r="H9" s="436"/>
      <c r="I9" s="436"/>
      <c r="J9" s="436">
        <v>5</v>
      </c>
      <c r="K9" s="436">
        <v>5</v>
      </c>
      <c r="L9" s="436">
        <v>5</v>
      </c>
      <c r="M9" s="436">
        <v>5</v>
      </c>
      <c r="N9" s="422">
        <f t="shared" si="1"/>
        <v>20</v>
      </c>
      <c r="P9" s="494"/>
      <c r="Q9" s="494"/>
      <c r="R9" s="494"/>
      <c r="S9" s="494"/>
      <c r="T9" s="494"/>
      <c r="U9" s="494"/>
    </row>
    <row r="10" spans="1:21" x14ac:dyDescent="0.3">
      <c r="A10" s="423" t="str">
        <f>Довідник!$A$9</f>
        <v>Село 5</v>
      </c>
      <c r="B10" s="436"/>
      <c r="C10" s="436"/>
      <c r="D10" s="436"/>
      <c r="E10" s="436"/>
      <c r="F10" s="436"/>
      <c r="G10" s="436"/>
      <c r="H10" s="436"/>
      <c r="I10" s="436"/>
      <c r="J10" s="436"/>
      <c r="K10" s="436"/>
      <c r="L10" s="436"/>
      <c r="M10" s="436"/>
      <c r="N10" s="422">
        <f t="shared" si="1"/>
        <v>0</v>
      </c>
      <c r="P10" s="494"/>
      <c r="Q10" s="494"/>
      <c r="R10" s="494"/>
      <c r="S10" s="494"/>
      <c r="T10" s="494"/>
      <c r="U10" s="494"/>
    </row>
    <row r="11" spans="1:21" x14ac:dyDescent="0.3">
      <c r="A11" s="423" t="str">
        <f>Довідник!$A$10</f>
        <v>Село 6</v>
      </c>
      <c r="B11" s="437"/>
      <c r="C11" s="437"/>
      <c r="D11" s="437"/>
      <c r="E11" s="437"/>
      <c r="F11" s="437"/>
      <c r="G11" s="437"/>
      <c r="H11" s="437"/>
      <c r="I11" s="437"/>
      <c r="J11" s="437"/>
      <c r="K11" s="437"/>
      <c r="L11" s="437"/>
      <c r="M11" s="437"/>
      <c r="N11" s="422">
        <f t="shared" si="1"/>
        <v>0</v>
      </c>
      <c r="P11" s="494"/>
      <c r="Q11" s="494"/>
      <c r="R11" s="494"/>
      <c r="S11" s="494"/>
      <c r="T11" s="494"/>
      <c r="U11" s="494"/>
    </row>
    <row r="12" spans="1:21" x14ac:dyDescent="0.3">
      <c r="A12" s="423" t="str">
        <f>Довідник!$A$11</f>
        <v>Село 7</v>
      </c>
      <c r="B12" s="437"/>
      <c r="C12" s="437"/>
      <c r="D12" s="437"/>
      <c r="E12" s="437"/>
      <c r="F12" s="437"/>
      <c r="G12" s="437"/>
      <c r="H12" s="437"/>
      <c r="I12" s="437"/>
      <c r="J12" s="437"/>
      <c r="K12" s="437"/>
      <c r="L12" s="437"/>
      <c r="M12" s="437"/>
      <c r="N12" s="422">
        <f t="shared" si="1"/>
        <v>0</v>
      </c>
      <c r="P12" s="494"/>
      <c r="Q12" s="494"/>
      <c r="R12" s="494"/>
      <c r="S12" s="494"/>
      <c r="T12" s="494"/>
      <c r="U12" s="494"/>
    </row>
    <row r="13" spans="1:21" ht="23.4" thickBot="1" x14ac:dyDescent="0.35">
      <c r="A13" s="307" t="s">
        <v>214</v>
      </c>
      <c r="B13" s="424">
        <f>B4</f>
        <v>20</v>
      </c>
      <c r="C13" s="424">
        <f>B13+C4</f>
        <v>23</v>
      </c>
      <c r="D13" s="424">
        <f t="shared" ref="D13:M13" si="2">C13+D4</f>
        <v>26</v>
      </c>
      <c r="E13" s="424">
        <f t="shared" si="2"/>
        <v>36</v>
      </c>
      <c r="F13" s="424">
        <f t="shared" si="2"/>
        <v>46</v>
      </c>
      <c r="G13" s="424">
        <f t="shared" si="2"/>
        <v>56</v>
      </c>
      <c r="H13" s="424">
        <f t="shared" si="2"/>
        <v>66</v>
      </c>
      <c r="I13" s="424">
        <f t="shared" si="2"/>
        <v>71</v>
      </c>
      <c r="J13" s="424">
        <f t="shared" si="2"/>
        <v>81</v>
      </c>
      <c r="K13" s="424">
        <f t="shared" si="2"/>
        <v>86</v>
      </c>
      <c r="L13" s="424">
        <f t="shared" si="2"/>
        <v>91</v>
      </c>
      <c r="M13" s="424">
        <f t="shared" si="2"/>
        <v>96</v>
      </c>
      <c r="N13" s="425"/>
      <c r="P13" s="494"/>
      <c r="Q13" s="494"/>
      <c r="R13" s="494"/>
      <c r="S13" s="494"/>
      <c r="T13" s="494"/>
      <c r="U13" s="494"/>
    </row>
    <row r="16" spans="1:21" ht="15" customHeight="1" thickBot="1" x14ac:dyDescent="0.35">
      <c r="A16" s="486" t="s">
        <v>208</v>
      </c>
      <c r="B16" s="486"/>
      <c r="C16" s="486"/>
      <c r="D16" s="486"/>
      <c r="E16" s="486"/>
      <c r="F16" s="486"/>
      <c r="G16" s="486"/>
      <c r="H16" s="486"/>
      <c r="I16" s="486"/>
      <c r="J16" s="486"/>
      <c r="K16" s="486"/>
      <c r="L16" s="486"/>
      <c r="M16" s="486"/>
      <c r="N16" s="486"/>
    </row>
    <row r="17" spans="1:14" ht="14.4" customHeight="1" x14ac:dyDescent="0.3">
      <c r="A17" s="487" t="s">
        <v>32</v>
      </c>
      <c r="B17" s="489" t="s">
        <v>33</v>
      </c>
      <c r="C17" s="490"/>
      <c r="D17" s="490"/>
      <c r="E17" s="490"/>
      <c r="F17" s="490"/>
      <c r="G17" s="490"/>
      <c r="H17" s="490"/>
      <c r="I17" s="490"/>
      <c r="J17" s="490"/>
      <c r="K17" s="490"/>
      <c r="L17" s="490"/>
      <c r="M17" s="491"/>
      <c r="N17" s="492" t="s">
        <v>209</v>
      </c>
    </row>
    <row r="18" spans="1:14" ht="15" thickBot="1" x14ac:dyDescent="0.35">
      <c r="A18" s="488"/>
      <c r="B18" s="249" t="s">
        <v>34</v>
      </c>
      <c r="C18" s="266" t="s">
        <v>35</v>
      </c>
      <c r="D18" s="266" t="s">
        <v>36</v>
      </c>
      <c r="E18" s="266" t="s">
        <v>37</v>
      </c>
      <c r="F18" s="266" t="s">
        <v>38</v>
      </c>
      <c r="G18" s="266" t="s">
        <v>39</v>
      </c>
      <c r="H18" s="266" t="s">
        <v>40</v>
      </c>
      <c r="I18" s="266" t="s">
        <v>41</v>
      </c>
      <c r="J18" s="266" t="s">
        <v>42</v>
      </c>
      <c r="K18" s="266" t="s">
        <v>43</v>
      </c>
      <c r="L18" s="266" t="s">
        <v>44</v>
      </c>
      <c r="M18" s="266" t="s">
        <v>45</v>
      </c>
      <c r="N18" s="493"/>
    </row>
    <row r="19" spans="1:14" ht="22.8" x14ac:dyDescent="0.3">
      <c r="A19" s="164" t="s">
        <v>210</v>
      </c>
      <c r="B19" s="419">
        <f>SUM(B21:B27)</f>
        <v>5</v>
      </c>
      <c r="C19" s="419">
        <f t="shared" ref="C19:M19" si="3">SUM(C21:C27)</f>
        <v>7</v>
      </c>
      <c r="D19" s="419">
        <f t="shared" si="3"/>
        <v>5</v>
      </c>
      <c r="E19" s="419">
        <f t="shared" si="3"/>
        <v>7</v>
      </c>
      <c r="F19" s="419">
        <f t="shared" si="3"/>
        <v>0</v>
      </c>
      <c r="G19" s="419">
        <f t="shared" si="3"/>
        <v>5</v>
      </c>
      <c r="H19" s="419">
        <f t="shared" si="3"/>
        <v>0</v>
      </c>
      <c r="I19" s="419">
        <f t="shared" si="3"/>
        <v>6</v>
      </c>
      <c r="J19" s="419">
        <f t="shared" si="3"/>
        <v>5</v>
      </c>
      <c r="K19" s="419">
        <f t="shared" si="3"/>
        <v>5</v>
      </c>
      <c r="L19" s="419">
        <f t="shared" si="3"/>
        <v>8</v>
      </c>
      <c r="M19" s="419">
        <f t="shared" si="3"/>
        <v>2</v>
      </c>
      <c r="N19" s="420">
        <f>SUM(B19:M19)</f>
        <v>55</v>
      </c>
    </row>
    <row r="20" spans="1:14" x14ac:dyDescent="0.3">
      <c r="A20" s="150" t="s">
        <v>211</v>
      </c>
      <c r="B20" s="421"/>
      <c r="C20" s="421"/>
      <c r="D20" s="421"/>
      <c r="E20" s="421"/>
      <c r="F20" s="421"/>
      <c r="G20" s="421"/>
      <c r="H20" s="421"/>
      <c r="I20" s="421"/>
      <c r="J20" s="421"/>
      <c r="K20" s="421"/>
      <c r="L20" s="421"/>
      <c r="M20" s="421"/>
      <c r="N20" s="422"/>
    </row>
    <row r="21" spans="1:14" x14ac:dyDescent="0.3">
      <c r="A21" s="423" t="str">
        <f>Довідник!$A$5</f>
        <v>Село 1</v>
      </c>
      <c r="B21" s="436">
        <v>5</v>
      </c>
      <c r="C21" s="436"/>
      <c r="D21" s="436"/>
      <c r="E21" s="436">
        <v>7</v>
      </c>
      <c r="F21" s="436"/>
      <c r="G21" s="436"/>
      <c r="H21" s="436"/>
      <c r="I21" s="436">
        <v>6</v>
      </c>
      <c r="J21" s="436">
        <v>5</v>
      </c>
      <c r="K21" s="436"/>
      <c r="L21" s="436"/>
      <c r="M21" s="436"/>
      <c r="N21" s="422">
        <f>SUM(B21:M21)</f>
        <v>23</v>
      </c>
    </row>
    <row r="22" spans="1:14" x14ac:dyDescent="0.3">
      <c r="A22" s="423" t="str">
        <f>Довідник!$A$6</f>
        <v>Село 2</v>
      </c>
      <c r="B22" s="436"/>
      <c r="C22" s="436">
        <v>7</v>
      </c>
      <c r="D22" s="436"/>
      <c r="E22" s="436"/>
      <c r="F22" s="436"/>
      <c r="G22" s="436"/>
      <c r="H22" s="436"/>
      <c r="I22" s="436"/>
      <c r="J22" s="436"/>
      <c r="K22" s="436"/>
      <c r="L22" s="436"/>
      <c r="M22" s="436"/>
      <c r="N22" s="422">
        <f t="shared" ref="N22:N27" si="4">SUM(B22:M22)</f>
        <v>7</v>
      </c>
    </row>
    <row r="23" spans="1:14" x14ac:dyDescent="0.3">
      <c r="A23" s="423" t="str">
        <f>Довідник!$A$7</f>
        <v>Село 3</v>
      </c>
      <c r="B23" s="436"/>
      <c r="C23" s="436"/>
      <c r="D23" s="436"/>
      <c r="E23" s="436"/>
      <c r="F23" s="436"/>
      <c r="G23" s="436"/>
      <c r="H23" s="436"/>
      <c r="I23" s="436"/>
      <c r="J23" s="436"/>
      <c r="K23" s="436">
        <v>5</v>
      </c>
      <c r="L23" s="436">
        <v>8</v>
      </c>
      <c r="M23" s="436"/>
      <c r="N23" s="422">
        <f t="shared" si="4"/>
        <v>13</v>
      </c>
    </row>
    <row r="24" spans="1:14" x14ac:dyDescent="0.3">
      <c r="A24" s="423" t="str">
        <f>Довідник!$A$8</f>
        <v>Село 4</v>
      </c>
      <c r="B24" s="436"/>
      <c r="C24" s="436"/>
      <c r="D24" s="436">
        <v>5</v>
      </c>
      <c r="E24" s="436"/>
      <c r="F24" s="436"/>
      <c r="G24" s="436">
        <v>5</v>
      </c>
      <c r="H24" s="436"/>
      <c r="I24" s="436"/>
      <c r="J24" s="436"/>
      <c r="K24" s="436"/>
      <c r="L24" s="436"/>
      <c r="M24" s="436">
        <v>2</v>
      </c>
      <c r="N24" s="422">
        <f t="shared" si="4"/>
        <v>12</v>
      </c>
    </row>
    <row r="25" spans="1:14" x14ac:dyDescent="0.3">
      <c r="A25" s="423" t="str">
        <f>Довідник!$A$9</f>
        <v>Село 5</v>
      </c>
      <c r="B25" s="436"/>
      <c r="C25" s="436"/>
      <c r="D25" s="436"/>
      <c r="E25" s="436"/>
      <c r="F25" s="436"/>
      <c r="G25" s="436"/>
      <c r="H25" s="436"/>
      <c r="I25" s="436"/>
      <c r="J25" s="436"/>
      <c r="K25" s="436"/>
      <c r="L25" s="436"/>
      <c r="M25" s="436"/>
      <c r="N25" s="422">
        <f t="shared" si="4"/>
        <v>0</v>
      </c>
    </row>
    <row r="26" spans="1:14" x14ac:dyDescent="0.3">
      <c r="A26" s="423" t="str">
        <f>Довідник!$A$10</f>
        <v>Село 6</v>
      </c>
      <c r="B26" s="437"/>
      <c r="C26" s="437"/>
      <c r="D26" s="437"/>
      <c r="E26" s="437"/>
      <c r="F26" s="437"/>
      <c r="G26" s="437"/>
      <c r="H26" s="437"/>
      <c r="I26" s="437"/>
      <c r="J26" s="437"/>
      <c r="K26" s="437"/>
      <c r="L26" s="437"/>
      <c r="M26" s="437"/>
      <c r="N26" s="422">
        <f t="shared" si="4"/>
        <v>0</v>
      </c>
    </row>
    <row r="27" spans="1:14" x14ac:dyDescent="0.3">
      <c r="A27" s="423" t="str">
        <f>Довідник!$A$11</f>
        <v>Село 7</v>
      </c>
      <c r="B27" s="437"/>
      <c r="C27" s="437"/>
      <c r="D27" s="437"/>
      <c r="E27" s="437"/>
      <c r="F27" s="437"/>
      <c r="G27" s="437"/>
      <c r="H27" s="437"/>
      <c r="I27" s="437"/>
      <c r="J27" s="437"/>
      <c r="K27" s="437"/>
      <c r="L27" s="437"/>
      <c r="M27" s="437"/>
      <c r="N27" s="422">
        <f t="shared" si="4"/>
        <v>0</v>
      </c>
    </row>
    <row r="28" spans="1:14" ht="23.4" thickBot="1" x14ac:dyDescent="0.35">
      <c r="A28" s="307" t="s">
        <v>214</v>
      </c>
      <c r="B28" s="424">
        <f>M13</f>
        <v>96</v>
      </c>
      <c r="C28" s="424">
        <f>B28+C19</f>
        <v>103</v>
      </c>
      <c r="D28" s="424">
        <f t="shared" ref="D28:M28" si="5">C28+D19</f>
        <v>108</v>
      </c>
      <c r="E28" s="424">
        <f t="shared" si="5"/>
        <v>115</v>
      </c>
      <c r="F28" s="424">
        <f t="shared" si="5"/>
        <v>115</v>
      </c>
      <c r="G28" s="424">
        <f t="shared" si="5"/>
        <v>120</v>
      </c>
      <c r="H28" s="424">
        <f t="shared" si="5"/>
        <v>120</v>
      </c>
      <c r="I28" s="424">
        <f t="shared" si="5"/>
        <v>126</v>
      </c>
      <c r="J28" s="424">
        <f t="shared" si="5"/>
        <v>131</v>
      </c>
      <c r="K28" s="424">
        <f t="shared" si="5"/>
        <v>136</v>
      </c>
      <c r="L28" s="424">
        <f t="shared" si="5"/>
        <v>144</v>
      </c>
      <c r="M28" s="424">
        <f t="shared" si="5"/>
        <v>146</v>
      </c>
      <c r="N28" s="425"/>
    </row>
    <row r="31" spans="1:14" ht="15" customHeight="1" thickBot="1" x14ac:dyDescent="0.35">
      <c r="A31" s="486" t="s">
        <v>208</v>
      </c>
      <c r="B31" s="486"/>
      <c r="C31" s="486"/>
      <c r="D31" s="486"/>
      <c r="E31" s="486"/>
      <c r="F31" s="486"/>
      <c r="G31" s="486"/>
      <c r="H31" s="486"/>
      <c r="I31" s="486"/>
      <c r="J31" s="486"/>
      <c r="K31" s="486"/>
      <c r="L31" s="486"/>
      <c r="M31" s="486"/>
      <c r="N31" s="486"/>
    </row>
    <row r="32" spans="1:14" ht="14.4" customHeight="1" x14ac:dyDescent="0.3">
      <c r="A32" s="487" t="s">
        <v>32</v>
      </c>
      <c r="B32" s="489" t="s">
        <v>33</v>
      </c>
      <c r="C32" s="490"/>
      <c r="D32" s="490"/>
      <c r="E32" s="490"/>
      <c r="F32" s="490"/>
      <c r="G32" s="490"/>
      <c r="H32" s="490"/>
      <c r="I32" s="490"/>
      <c r="J32" s="490"/>
      <c r="K32" s="490"/>
      <c r="L32" s="490"/>
      <c r="M32" s="491"/>
      <c r="N32" s="492" t="s">
        <v>209</v>
      </c>
    </row>
    <row r="33" spans="1:14" ht="15" thickBot="1" x14ac:dyDescent="0.35">
      <c r="A33" s="488"/>
      <c r="B33" s="249" t="s">
        <v>34</v>
      </c>
      <c r="C33" s="266" t="s">
        <v>35</v>
      </c>
      <c r="D33" s="266" t="s">
        <v>36</v>
      </c>
      <c r="E33" s="266" t="s">
        <v>37</v>
      </c>
      <c r="F33" s="266" t="s">
        <v>38</v>
      </c>
      <c r="G33" s="266" t="s">
        <v>39</v>
      </c>
      <c r="H33" s="266" t="s">
        <v>40</v>
      </c>
      <c r="I33" s="266" t="s">
        <v>41</v>
      </c>
      <c r="J33" s="266" t="s">
        <v>42</v>
      </c>
      <c r="K33" s="266" t="s">
        <v>43</v>
      </c>
      <c r="L33" s="266" t="s">
        <v>44</v>
      </c>
      <c r="M33" s="266" t="s">
        <v>45</v>
      </c>
      <c r="N33" s="493"/>
    </row>
    <row r="34" spans="1:14" ht="22.8" x14ac:dyDescent="0.3">
      <c r="A34" s="164" t="s">
        <v>210</v>
      </c>
      <c r="B34" s="419">
        <f>SUM(B36:B42)</f>
        <v>3</v>
      </c>
      <c r="C34" s="419">
        <f t="shared" ref="C34:M34" si="6">SUM(C36:C42)</f>
        <v>5</v>
      </c>
      <c r="D34" s="419">
        <f t="shared" si="6"/>
        <v>6</v>
      </c>
      <c r="E34" s="419">
        <f t="shared" si="6"/>
        <v>4</v>
      </c>
      <c r="F34" s="419">
        <f t="shared" si="6"/>
        <v>5</v>
      </c>
      <c r="G34" s="419">
        <f t="shared" si="6"/>
        <v>0</v>
      </c>
      <c r="H34" s="419">
        <f t="shared" si="6"/>
        <v>1</v>
      </c>
      <c r="I34" s="419">
        <f t="shared" si="6"/>
        <v>0</v>
      </c>
      <c r="J34" s="419">
        <f t="shared" si="6"/>
        <v>6</v>
      </c>
      <c r="K34" s="419">
        <f t="shared" si="6"/>
        <v>5</v>
      </c>
      <c r="L34" s="419">
        <f t="shared" si="6"/>
        <v>2</v>
      </c>
      <c r="M34" s="419">
        <f t="shared" si="6"/>
        <v>2</v>
      </c>
      <c r="N34" s="420">
        <f>SUM(B34:M34)</f>
        <v>39</v>
      </c>
    </row>
    <row r="35" spans="1:14" x14ac:dyDescent="0.3">
      <c r="A35" s="150" t="s">
        <v>211</v>
      </c>
      <c r="B35" s="421"/>
      <c r="C35" s="421"/>
      <c r="D35" s="421"/>
      <c r="E35" s="421"/>
      <c r="F35" s="421"/>
      <c r="G35" s="421"/>
      <c r="H35" s="421"/>
      <c r="I35" s="421"/>
      <c r="J35" s="421"/>
      <c r="K35" s="421"/>
      <c r="L35" s="421"/>
      <c r="M35" s="421"/>
      <c r="N35" s="422"/>
    </row>
    <row r="36" spans="1:14" x14ac:dyDescent="0.3">
      <c r="A36" s="423" t="str">
        <f>Довідник!$A$5</f>
        <v>Село 1</v>
      </c>
      <c r="B36" s="436"/>
      <c r="C36" s="436"/>
      <c r="D36" s="436"/>
      <c r="E36" s="436"/>
      <c r="F36" s="436"/>
      <c r="G36" s="436"/>
      <c r="H36" s="436">
        <v>1</v>
      </c>
      <c r="I36" s="436"/>
      <c r="J36" s="436"/>
      <c r="K36" s="436"/>
      <c r="L36" s="436"/>
      <c r="M36" s="436"/>
      <c r="N36" s="422">
        <f>SUM(B36:M36)</f>
        <v>1</v>
      </c>
    </row>
    <row r="37" spans="1:14" x14ac:dyDescent="0.3">
      <c r="A37" s="423" t="str">
        <f>Довідник!$A$6</f>
        <v>Село 2</v>
      </c>
      <c r="B37" s="436">
        <v>3</v>
      </c>
      <c r="C37" s="436">
        <v>5</v>
      </c>
      <c r="D37" s="436">
        <v>6</v>
      </c>
      <c r="E37" s="436">
        <v>4</v>
      </c>
      <c r="F37" s="436"/>
      <c r="G37" s="436"/>
      <c r="H37" s="436"/>
      <c r="I37" s="436"/>
      <c r="J37" s="436"/>
      <c r="K37" s="436"/>
      <c r="L37" s="436"/>
      <c r="M37" s="436"/>
      <c r="N37" s="422">
        <f t="shared" ref="N37:N42" si="7">SUM(B37:M37)</f>
        <v>18</v>
      </c>
    </row>
    <row r="38" spans="1:14" x14ac:dyDescent="0.3">
      <c r="A38" s="423" t="str">
        <f>Довідник!$A$7</f>
        <v>Село 3</v>
      </c>
      <c r="B38" s="436"/>
      <c r="C38" s="436"/>
      <c r="D38" s="436"/>
      <c r="E38" s="436"/>
      <c r="F38" s="436">
        <v>5</v>
      </c>
      <c r="G38" s="436"/>
      <c r="H38" s="436"/>
      <c r="I38" s="436"/>
      <c r="J38" s="436">
        <v>6</v>
      </c>
      <c r="K38" s="436"/>
      <c r="L38" s="436"/>
      <c r="M38" s="436"/>
      <c r="N38" s="422">
        <f t="shared" si="7"/>
        <v>11</v>
      </c>
    </row>
    <row r="39" spans="1:14" x14ac:dyDescent="0.3">
      <c r="A39" s="423" t="str">
        <f>Довідник!$A$8</f>
        <v>Село 4</v>
      </c>
      <c r="B39" s="436"/>
      <c r="C39" s="436"/>
      <c r="D39" s="436"/>
      <c r="E39" s="436"/>
      <c r="F39" s="436"/>
      <c r="G39" s="436"/>
      <c r="H39" s="436"/>
      <c r="I39" s="436"/>
      <c r="J39" s="436"/>
      <c r="K39" s="436">
        <v>5</v>
      </c>
      <c r="L39" s="436"/>
      <c r="M39" s="436"/>
      <c r="N39" s="422">
        <f t="shared" si="7"/>
        <v>5</v>
      </c>
    </row>
    <row r="40" spans="1:14" x14ac:dyDescent="0.3">
      <c r="A40" s="423" t="str">
        <f>Довідник!$A$9</f>
        <v>Село 5</v>
      </c>
      <c r="B40" s="436"/>
      <c r="C40" s="436"/>
      <c r="D40" s="436"/>
      <c r="E40" s="436"/>
      <c r="F40" s="436"/>
      <c r="G40" s="436"/>
      <c r="H40" s="436"/>
      <c r="I40" s="436"/>
      <c r="J40" s="436"/>
      <c r="K40" s="436"/>
      <c r="L40" s="436">
        <v>2</v>
      </c>
      <c r="M40" s="436">
        <v>2</v>
      </c>
      <c r="N40" s="422">
        <f t="shared" si="7"/>
        <v>4</v>
      </c>
    </row>
    <row r="41" spans="1:14" x14ac:dyDescent="0.3">
      <c r="A41" s="423" t="str">
        <f>Довідник!$A$10</f>
        <v>Село 6</v>
      </c>
      <c r="B41" s="437"/>
      <c r="C41" s="437"/>
      <c r="D41" s="437"/>
      <c r="E41" s="437"/>
      <c r="F41" s="437"/>
      <c r="G41" s="437"/>
      <c r="H41" s="437"/>
      <c r="I41" s="437"/>
      <c r="J41" s="437"/>
      <c r="K41" s="437"/>
      <c r="L41" s="437"/>
      <c r="M41" s="437"/>
      <c r="N41" s="422">
        <f t="shared" si="7"/>
        <v>0</v>
      </c>
    </row>
    <row r="42" spans="1:14" x14ac:dyDescent="0.3">
      <c r="A42" s="423" t="str">
        <f>Довідник!$A$11</f>
        <v>Село 7</v>
      </c>
      <c r="B42" s="437"/>
      <c r="C42" s="437"/>
      <c r="D42" s="437"/>
      <c r="E42" s="437"/>
      <c r="F42" s="437"/>
      <c r="G42" s="437"/>
      <c r="H42" s="437"/>
      <c r="I42" s="437"/>
      <c r="J42" s="437"/>
      <c r="K42" s="437"/>
      <c r="L42" s="437"/>
      <c r="M42" s="437"/>
      <c r="N42" s="422">
        <f t="shared" si="7"/>
        <v>0</v>
      </c>
    </row>
    <row r="43" spans="1:14" ht="23.4" thickBot="1" x14ac:dyDescent="0.35">
      <c r="A43" s="307" t="s">
        <v>214</v>
      </c>
      <c r="B43" s="424">
        <f>M28</f>
        <v>146</v>
      </c>
      <c r="C43" s="424">
        <f>B43+C34</f>
        <v>151</v>
      </c>
      <c r="D43" s="424">
        <f t="shared" ref="D43:M43" si="8">C43+D34</f>
        <v>157</v>
      </c>
      <c r="E43" s="424">
        <f t="shared" si="8"/>
        <v>161</v>
      </c>
      <c r="F43" s="424">
        <f t="shared" si="8"/>
        <v>166</v>
      </c>
      <c r="G43" s="424">
        <f t="shared" si="8"/>
        <v>166</v>
      </c>
      <c r="H43" s="424">
        <f t="shared" si="8"/>
        <v>167</v>
      </c>
      <c r="I43" s="424">
        <f t="shared" si="8"/>
        <v>167</v>
      </c>
      <c r="J43" s="424">
        <f t="shared" si="8"/>
        <v>173</v>
      </c>
      <c r="K43" s="424">
        <f t="shared" si="8"/>
        <v>178</v>
      </c>
      <c r="L43" s="424">
        <f t="shared" si="8"/>
        <v>180</v>
      </c>
      <c r="M43" s="424">
        <f t="shared" si="8"/>
        <v>182</v>
      </c>
      <c r="N43" s="425"/>
    </row>
  </sheetData>
  <sheetProtection algorithmName="SHA-512" hashValue="a8moOc5qNCLLwHO8umNGPPOrH99W65zFQYFGanMyBhQKcxpSsX5bW8ekdI+VUSH3Tuzl8iyia5aDP7cRKSbvJw==" saltValue="4va8RtNMNVdi4ZBNGq648g==" spinCount="100000" sheet="1" objects="1" scenarios="1"/>
  <mergeCells count="16">
    <mergeCell ref="A1:N1"/>
    <mergeCell ref="A2:A3"/>
    <mergeCell ref="B2:M2"/>
    <mergeCell ref="N2:N3"/>
    <mergeCell ref="A16:N16"/>
    <mergeCell ref="P3:R3"/>
    <mergeCell ref="P2:Q2"/>
    <mergeCell ref="P4:U4"/>
    <mergeCell ref="A31:N31"/>
    <mergeCell ref="A32:A33"/>
    <mergeCell ref="B32:M32"/>
    <mergeCell ref="N32:N33"/>
    <mergeCell ref="A17:A18"/>
    <mergeCell ref="B17:M17"/>
    <mergeCell ref="N17:N18"/>
    <mergeCell ref="P6:U13"/>
  </mergeCells>
  <pageMargins left="0.7" right="0.7" top="0.75" bottom="0.75" header="0.3" footer="0.3"/>
  <pageSetup paperSize="9" orientation="portrait" r:id="rId1"/>
  <ignoredErrors>
    <ignoredError sqref="B4:M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U139"/>
  <sheetViews>
    <sheetView zoomScaleNormal="100" workbookViewId="0">
      <selection activeCell="I10" sqref="I10"/>
    </sheetView>
  </sheetViews>
  <sheetFormatPr defaultColWidth="9.109375" defaultRowHeight="14.4" x14ac:dyDescent="0.3"/>
  <cols>
    <col min="1" max="1" width="25.6640625" style="251" customWidth="1"/>
    <col min="2" max="13" width="7.6640625" style="251" customWidth="1"/>
    <col min="14" max="16384" width="9.109375" style="251"/>
  </cols>
  <sheetData>
    <row r="1" spans="1:21" ht="15" thickBot="1" x14ac:dyDescent="0.35">
      <c r="A1" s="486" t="s">
        <v>215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</row>
    <row r="2" spans="1:21" ht="28.95" customHeight="1" x14ac:dyDescent="0.3">
      <c r="A2" s="487" t="s">
        <v>32</v>
      </c>
      <c r="B2" s="489" t="s">
        <v>33</v>
      </c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1"/>
      <c r="N2" s="492" t="s">
        <v>209</v>
      </c>
      <c r="P2" s="481" t="s">
        <v>127</v>
      </c>
      <c r="Q2" s="481"/>
      <c r="R2" s="426"/>
      <c r="S2" s="426"/>
      <c r="T2" s="426"/>
      <c r="U2" s="426"/>
    </row>
    <row r="3" spans="1:21" ht="15" customHeight="1" thickBot="1" x14ac:dyDescent="0.35">
      <c r="A3" s="488"/>
      <c r="B3" s="249" t="s">
        <v>34</v>
      </c>
      <c r="C3" s="266" t="s">
        <v>35</v>
      </c>
      <c r="D3" s="266" t="s">
        <v>36</v>
      </c>
      <c r="E3" s="266" t="s">
        <v>37</v>
      </c>
      <c r="F3" s="266" t="s">
        <v>38</v>
      </c>
      <c r="G3" s="266" t="s">
        <v>39</v>
      </c>
      <c r="H3" s="266" t="s">
        <v>40</v>
      </c>
      <c r="I3" s="266" t="s">
        <v>41</v>
      </c>
      <c r="J3" s="266" t="s">
        <v>42</v>
      </c>
      <c r="K3" s="266" t="s">
        <v>43</v>
      </c>
      <c r="L3" s="266" t="s">
        <v>44</v>
      </c>
      <c r="M3" s="266" t="s">
        <v>45</v>
      </c>
      <c r="N3" s="493"/>
      <c r="P3" s="481" t="s">
        <v>216</v>
      </c>
      <c r="Q3" s="481"/>
      <c r="R3" s="481"/>
      <c r="S3" s="481"/>
      <c r="T3" s="481"/>
      <c r="U3" s="481"/>
    </row>
    <row r="4" spans="1:21" x14ac:dyDescent="0.3">
      <c r="A4" s="164" t="s">
        <v>217</v>
      </c>
      <c r="B4" s="358">
        <f>Довідник!B25</f>
        <v>20</v>
      </c>
      <c r="C4" s="358">
        <f>Довідник!C25</f>
        <v>20</v>
      </c>
      <c r="D4" s="358">
        <f>Довідник!D25</f>
        <v>22</v>
      </c>
      <c r="E4" s="358">
        <f>Довідник!E25</f>
        <v>21</v>
      </c>
      <c r="F4" s="358">
        <f>Довідник!F25</f>
        <v>22</v>
      </c>
      <c r="G4" s="358">
        <f>Довідник!G25</f>
        <v>21</v>
      </c>
      <c r="H4" s="358">
        <f>Довідник!H25</f>
        <v>22</v>
      </c>
      <c r="I4" s="358">
        <f>Довідник!I25</f>
        <v>22</v>
      </c>
      <c r="J4" s="358">
        <f>Довідник!J25</f>
        <v>21</v>
      </c>
      <c r="K4" s="358">
        <f>Довідник!K25</f>
        <v>21</v>
      </c>
      <c r="L4" s="358">
        <f>Довідник!L25</f>
        <v>20</v>
      </c>
      <c r="M4" s="358">
        <f>Довідник!M25</f>
        <v>20</v>
      </c>
      <c r="N4" s="359">
        <f>SUM(B4:M4)</f>
        <v>252</v>
      </c>
      <c r="P4" s="481"/>
      <c r="Q4" s="481"/>
      <c r="R4" s="481"/>
      <c r="S4" s="481"/>
      <c r="T4" s="481"/>
      <c r="U4" s="481"/>
    </row>
    <row r="5" spans="1:21" ht="23.4" thickBot="1" x14ac:dyDescent="0.35">
      <c r="A5" s="171" t="s">
        <v>218</v>
      </c>
      <c r="B5" s="402">
        <f>Довідник!B30</f>
        <v>9</v>
      </c>
      <c r="C5" s="402">
        <f>Довідник!C30</f>
        <v>10</v>
      </c>
      <c r="D5" s="402">
        <f>Довідник!D30</f>
        <v>13</v>
      </c>
      <c r="E5" s="402">
        <f>Довідник!E30</f>
        <v>14</v>
      </c>
      <c r="F5" s="402">
        <f>Довідник!F30</f>
        <v>15</v>
      </c>
      <c r="G5" s="402">
        <f>Довідник!G30</f>
        <v>16</v>
      </c>
      <c r="H5" s="402">
        <f>Довідник!H30</f>
        <v>16</v>
      </c>
      <c r="I5" s="402">
        <f>Довідник!I30</f>
        <v>15</v>
      </c>
      <c r="J5" s="402">
        <f>Довідник!J30</f>
        <v>14</v>
      </c>
      <c r="K5" s="402">
        <f>Довідник!K30</f>
        <v>12</v>
      </c>
      <c r="L5" s="402">
        <f>Довідник!L30</f>
        <v>10</v>
      </c>
      <c r="M5" s="402">
        <f>Довідник!M30</f>
        <v>9</v>
      </c>
      <c r="N5" s="404"/>
    </row>
    <row r="6" spans="1:21" s="252" customFormat="1" x14ac:dyDescent="0.3">
      <c r="A6" s="495" t="str">
        <f>'План вступу в члени'!A6</f>
        <v>Село 1</v>
      </c>
      <c r="B6" s="496"/>
      <c r="C6" s="496"/>
      <c r="D6" s="496"/>
      <c r="E6" s="496"/>
      <c r="F6" s="496"/>
      <c r="G6" s="496"/>
      <c r="H6" s="496"/>
      <c r="I6" s="496"/>
      <c r="J6" s="496"/>
      <c r="K6" s="496"/>
      <c r="L6" s="496"/>
      <c r="M6" s="496"/>
      <c r="N6" s="497"/>
      <c r="P6" s="498" t="s">
        <v>385</v>
      </c>
      <c r="Q6" s="498"/>
      <c r="R6" s="498"/>
      <c r="S6" s="498"/>
      <c r="T6" s="498"/>
      <c r="U6" s="498"/>
    </row>
    <row r="7" spans="1:21" x14ac:dyDescent="0.3">
      <c r="A7" s="145" t="s">
        <v>219</v>
      </c>
      <c r="B7" s="405">
        <f>'План вступу в члени'!B6</f>
        <v>10</v>
      </c>
      <c r="C7" s="405">
        <f>B7+'План вступу в члени'!C6</f>
        <v>10</v>
      </c>
      <c r="D7" s="405">
        <f>C7+'План вступу в члени'!D6</f>
        <v>10</v>
      </c>
      <c r="E7" s="405">
        <f>D7+'План вступу в члени'!E6</f>
        <v>10</v>
      </c>
      <c r="F7" s="405">
        <f>E7+'План вступу в члени'!F6</f>
        <v>10</v>
      </c>
      <c r="G7" s="405">
        <f>F7+'План вступу в члени'!G6</f>
        <v>10</v>
      </c>
      <c r="H7" s="405">
        <f>G7+'План вступу в члени'!H6</f>
        <v>10</v>
      </c>
      <c r="I7" s="405">
        <f>H7+'План вступу в члени'!I6</f>
        <v>10</v>
      </c>
      <c r="J7" s="405">
        <f>I7+'План вступу в члени'!J6</f>
        <v>10</v>
      </c>
      <c r="K7" s="405">
        <f>J7+'План вступу в члени'!K6</f>
        <v>10</v>
      </c>
      <c r="L7" s="405">
        <f>K7+'План вступу в члени'!L6</f>
        <v>10</v>
      </c>
      <c r="M7" s="405">
        <f>L7+'План вступу в члени'!M6</f>
        <v>10</v>
      </c>
      <c r="N7" s="406">
        <f>M7</f>
        <v>10</v>
      </c>
      <c r="P7" s="498"/>
      <c r="Q7" s="498"/>
      <c r="R7" s="498"/>
      <c r="S7" s="498"/>
      <c r="T7" s="498"/>
      <c r="U7" s="498"/>
    </row>
    <row r="8" spans="1:21" x14ac:dyDescent="0.3">
      <c r="A8" s="407" t="s">
        <v>220</v>
      </c>
      <c r="B8" s="408"/>
      <c r="C8" s="408"/>
      <c r="D8" s="408"/>
      <c r="E8" s="409"/>
      <c r="F8" s="409"/>
      <c r="G8" s="409"/>
      <c r="H8" s="409"/>
      <c r="I8" s="409"/>
      <c r="J8" s="409"/>
      <c r="K8" s="408"/>
      <c r="L8" s="408"/>
      <c r="M8" s="408"/>
      <c r="N8" s="410"/>
      <c r="P8" s="498"/>
      <c r="Q8" s="498"/>
      <c r="R8" s="498"/>
      <c r="S8" s="498"/>
      <c r="T8" s="498"/>
      <c r="U8" s="498"/>
    </row>
    <row r="9" spans="1:21" x14ac:dyDescent="0.3">
      <c r="A9" s="150" t="s">
        <v>221</v>
      </c>
      <c r="B9" s="381">
        <f>B7*B5/1000</f>
        <v>0.09</v>
      </c>
      <c r="C9" s="381">
        <f t="shared" ref="C9:M9" si="0">C7*C5/1000</f>
        <v>0.1</v>
      </c>
      <c r="D9" s="381">
        <f t="shared" si="0"/>
        <v>0.13</v>
      </c>
      <c r="E9" s="381">
        <f t="shared" si="0"/>
        <v>0.14000000000000001</v>
      </c>
      <c r="F9" s="381">
        <f t="shared" si="0"/>
        <v>0.15</v>
      </c>
      <c r="G9" s="381">
        <f t="shared" si="0"/>
        <v>0.16</v>
      </c>
      <c r="H9" s="381">
        <f t="shared" si="0"/>
        <v>0.16</v>
      </c>
      <c r="I9" s="381">
        <f t="shared" si="0"/>
        <v>0.15</v>
      </c>
      <c r="J9" s="381">
        <f t="shared" si="0"/>
        <v>0.14000000000000001</v>
      </c>
      <c r="K9" s="381">
        <f t="shared" si="0"/>
        <v>0.12</v>
      </c>
      <c r="L9" s="381">
        <f t="shared" si="0"/>
        <v>0.1</v>
      </c>
      <c r="M9" s="381">
        <f t="shared" si="0"/>
        <v>0.09</v>
      </c>
      <c r="N9" s="406"/>
      <c r="P9" s="498"/>
      <c r="Q9" s="498"/>
      <c r="R9" s="498"/>
      <c r="S9" s="498"/>
      <c r="T9" s="498"/>
      <c r="U9" s="498"/>
    </row>
    <row r="10" spans="1:21" ht="22.8" x14ac:dyDescent="0.3">
      <c r="A10" s="400" t="s">
        <v>222</v>
      </c>
      <c r="B10" s="381">
        <f>B9*0.2</f>
        <v>1.7999999999999999E-2</v>
      </c>
      <c r="C10" s="381">
        <f t="shared" ref="C10:M10" si="1">C9*0.2</f>
        <v>2.0000000000000004E-2</v>
      </c>
      <c r="D10" s="381">
        <f t="shared" si="1"/>
        <v>2.6000000000000002E-2</v>
      </c>
      <c r="E10" s="381">
        <f t="shared" si="1"/>
        <v>2.8000000000000004E-2</v>
      </c>
      <c r="F10" s="381">
        <f t="shared" si="1"/>
        <v>0.03</v>
      </c>
      <c r="G10" s="381">
        <f t="shared" si="1"/>
        <v>3.2000000000000001E-2</v>
      </c>
      <c r="H10" s="381">
        <f t="shared" si="1"/>
        <v>3.2000000000000001E-2</v>
      </c>
      <c r="I10" s="381">
        <f t="shared" si="1"/>
        <v>0.03</v>
      </c>
      <c r="J10" s="381">
        <f t="shared" si="1"/>
        <v>2.8000000000000004E-2</v>
      </c>
      <c r="K10" s="381">
        <f t="shared" si="1"/>
        <v>2.4E-2</v>
      </c>
      <c r="L10" s="381">
        <f t="shared" si="1"/>
        <v>2.0000000000000004E-2</v>
      </c>
      <c r="M10" s="381">
        <f t="shared" si="1"/>
        <v>1.7999999999999999E-2</v>
      </c>
      <c r="N10" s="382">
        <f>SUM(B10:M10)</f>
        <v>0.30600000000000005</v>
      </c>
      <c r="P10" s="498"/>
      <c r="Q10" s="498"/>
      <c r="R10" s="498"/>
      <c r="S10" s="498"/>
      <c r="T10" s="498"/>
      <c r="U10" s="498"/>
    </row>
    <row r="11" spans="1:21" ht="22.8" x14ac:dyDescent="0.3">
      <c r="A11" s="400" t="s">
        <v>223</v>
      </c>
      <c r="B11" s="381">
        <f>B9-B10</f>
        <v>7.1999999999999995E-2</v>
      </c>
      <c r="C11" s="381">
        <f t="shared" ref="C11:M11" si="2">C9-C10</f>
        <v>0.08</v>
      </c>
      <c r="D11" s="381">
        <f t="shared" si="2"/>
        <v>0.10400000000000001</v>
      </c>
      <c r="E11" s="381">
        <f t="shared" si="2"/>
        <v>0.11200000000000002</v>
      </c>
      <c r="F11" s="381">
        <f t="shared" si="2"/>
        <v>0.12</v>
      </c>
      <c r="G11" s="381">
        <f t="shared" si="2"/>
        <v>0.128</v>
      </c>
      <c r="H11" s="381">
        <f t="shared" si="2"/>
        <v>0.128</v>
      </c>
      <c r="I11" s="381">
        <f t="shared" si="2"/>
        <v>0.12</v>
      </c>
      <c r="J11" s="381">
        <f t="shared" si="2"/>
        <v>0.11200000000000002</v>
      </c>
      <c r="K11" s="381">
        <f t="shared" si="2"/>
        <v>9.6000000000000002E-2</v>
      </c>
      <c r="L11" s="381">
        <f t="shared" si="2"/>
        <v>0.08</v>
      </c>
      <c r="M11" s="381">
        <f t="shared" si="2"/>
        <v>7.1999999999999995E-2</v>
      </c>
      <c r="N11" s="382">
        <f>SUM(B11:M11)</f>
        <v>1.2240000000000002</v>
      </c>
      <c r="P11" s="498"/>
      <c r="Q11" s="498"/>
      <c r="R11" s="498"/>
      <c r="S11" s="498"/>
      <c r="T11" s="498"/>
      <c r="U11" s="498"/>
    </row>
    <row r="12" spans="1:21" x14ac:dyDescent="0.3">
      <c r="A12" s="411" t="s">
        <v>224</v>
      </c>
      <c r="B12" s="412"/>
      <c r="C12" s="412"/>
      <c r="D12" s="412"/>
      <c r="E12" s="412"/>
      <c r="F12" s="412"/>
      <c r="G12" s="412"/>
      <c r="H12" s="412"/>
      <c r="I12" s="412"/>
      <c r="J12" s="412"/>
      <c r="K12" s="412"/>
      <c r="L12" s="412"/>
      <c r="M12" s="412"/>
      <c r="N12" s="413"/>
      <c r="P12" s="498"/>
      <c r="Q12" s="498"/>
      <c r="R12" s="498"/>
      <c r="S12" s="498"/>
      <c r="T12" s="498"/>
      <c r="U12" s="498"/>
    </row>
    <row r="13" spans="1:21" x14ac:dyDescent="0.3">
      <c r="A13" s="150" t="s">
        <v>225</v>
      </c>
      <c r="B13" s="381">
        <f>B4*B9</f>
        <v>1.7999999999999998</v>
      </c>
      <c r="C13" s="381">
        <f t="shared" ref="C13:M13" si="3">C4*C9</f>
        <v>2</v>
      </c>
      <c r="D13" s="381">
        <f t="shared" si="3"/>
        <v>2.8600000000000003</v>
      </c>
      <c r="E13" s="381">
        <f t="shared" si="3"/>
        <v>2.9400000000000004</v>
      </c>
      <c r="F13" s="381">
        <f t="shared" si="3"/>
        <v>3.3</v>
      </c>
      <c r="G13" s="381">
        <f t="shared" si="3"/>
        <v>3.36</v>
      </c>
      <c r="H13" s="381">
        <f t="shared" si="3"/>
        <v>3.52</v>
      </c>
      <c r="I13" s="381">
        <f t="shared" si="3"/>
        <v>3.3</v>
      </c>
      <c r="J13" s="381">
        <f t="shared" si="3"/>
        <v>2.9400000000000004</v>
      </c>
      <c r="K13" s="381">
        <f t="shared" si="3"/>
        <v>2.52</v>
      </c>
      <c r="L13" s="381">
        <f t="shared" si="3"/>
        <v>2</v>
      </c>
      <c r="M13" s="381">
        <f t="shared" si="3"/>
        <v>1.7999999999999998</v>
      </c>
      <c r="N13" s="382"/>
      <c r="P13" s="498"/>
      <c r="Q13" s="498"/>
      <c r="R13" s="498"/>
      <c r="S13" s="498"/>
      <c r="T13" s="498"/>
      <c r="U13" s="498"/>
    </row>
    <row r="14" spans="1:21" ht="22.8" x14ac:dyDescent="0.3">
      <c r="A14" s="400" t="s">
        <v>222</v>
      </c>
      <c r="B14" s="381">
        <f>B4*B10</f>
        <v>0.36</v>
      </c>
      <c r="C14" s="381">
        <f t="shared" ref="C14:M14" si="4">C4*C10</f>
        <v>0.40000000000000008</v>
      </c>
      <c r="D14" s="381">
        <f t="shared" si="4"/>
        <v>0.57200000000000006</v>
      </c>
      <c r="E14" s="381">
        <f t="shared" si="4"/>
        <v>0.58800000000000008</v>
      </c>
      <c r="F14" s="381">
        <f t="shared" si="4"/>
        <v>0.65999999999999992</v>
      </c>
      <c r="G14" s="381">
        <f t="shared" si="4"/>
        <v>0.67200000000000004</v>
      </c>
      <c r="H14" s="381">
        <f t="shared" si="4"/>
        <v>0.70399999999999996</v>
      </c>
      <c r="I14" s="381">
        <f t="shared" si="4"/>
        <v>0.65999999999999992</v>
      </c>
      <c r="J14" s="381">
        <f t="shared" si="4"/>
        <v>0.58800000000000008</v>
      </c>
      <c r="K14" s="381">
        <f t="shared" si="4"/>
        <v>0.504</v>
      </c>
      <c r="L14" s="381">
        <f t="shared" si="4"/>
        <v>0.40000000000000008</v>
      </c>
      <c r="M14" s="381">
        <f t="shared" si="4"/>
        <v>0.36</v>
      </c>
      <c r="N14" s="382">
        <f>SUM(B14:M14)</f>
        <v>6.4680000000000009</v>
      </c>
      <c r="P14" s="498"/>
      <c r="Q14" s="498"/>
      <c r="R14" s="498"/>
      <c r="S14" s="498"/>
      <c r="T14" s="498"/>
      <c r="U14" s="498"/>
    </row>
    <row r="15" spans="1:21" ht="23.4" thickBot="1" x14ac:dyDescent="0.35">
      <c r="A15" s="401" t="s">
        <v>223</v>
      </c>
      <c r="B15" s="414">
        <f>B4*B11</f>
        <v>1.44</v>
      </c>
      <c r="C15" s="414">
        <f t="shared" ref="C15:M15" si="5">C4*C11</f>
        <v>1.6</v>
      </c>
      <c r="D15" s="414">
        <f t="shared" si="5"/>
        <v>2.2880000000000003</v>
      </c>
      <c r="E15" s="414">
        <f t="shared" si="5"/>
        <v>2.3520000000000003</v>
      </c>
      <c r="F15" s="414">
        <f t="shared" si="5"/>
        <v>2.6399999999999997</v>
      </c>
      <c r="G15" s="414">
        <f t="shared" si="5"/>
        <v>2.6880000000000002</v>
      </c>
      <c r="H15" s="414">
        <f t="shared" si="5"/>
        <v>2.8159999999999998</v>
      </c>
      <c r="I15" s="414">
        <f t="shared" si="5"/>
        <v>2.6399999999999997</v>
      </c>
      <c r="J15" s="414">
        <f t="shared" si="5"/>
        <v>2.3520000000000003</v>
      </c>
      <c r="K15" s="414">
        <f t="shared" si="5"/>
        <v>2.016</v>
      </c>
      <c r="L15" s="414">
        <f t="shared" si="5"/>
        <v>1.6</v>
      </c>
      <c r="M15" s="414">
        <f t="shared" si="5"/>
        <v>1.44</v>
      </c>
      <c r="N15" s="415">
        <f>SUM(B15:M15)</f>
        <v>25.872000000000003</v>
      </c>
      <c r="P15" s="498"/>
      <c r="Q15" s="498"/>
      <c r="R15" s="498"/>
      <c r="S15" s="498"/>
      <c r="T15" s="498"/>
      <c r="U15" s="498"/>
    </row>
    <row r="16" spans="1:21" x14ac:dyDescent="0.3">
      <c r="A16" s="495" t="str">
        <f>'План вступу в члени'!A7</f>
        <v>Село 2</v>
      </c>
      <c r="B16" s="496"/>
      <c r="C16" s="496"/>
      <c r="D16" s="496"/>
      <c r="E16" s="496"/>
      <c r="F16" s="496"/>
      <c r="G16" s="496"/>
      <c r="H16" s="496"/>
      <c r="I16" s="496"/>
      <c r="J16" s="496"/>
      <c r="K16" s="496"/>
      <c r="L16" s="496"/>
      <c r="M16" s="496"/>
      <c r="N16" s="497"/>
    </row>
    <row r="17" spans="1:14" x14ac:dyDescent="0.3">
      <c r="A17" s="145" t="s">
        <v>219</v>
      </c>
      <c r="B17" s="405">
        <f>'План вступу в члени'!B7</f>
        <v>10</v>
      </c>
      <c r="C17" s="405">
        <f>B17+'План вступу в члени'!C7</f>
        <v>13</v>
      </c>
      <c r="D17" s="405">
        <f>C17+'План вступу в члени'!D7</f>
        <v>16</v>
      </c>
      <c r="E17" s="405">
        <f>D17+'План вступу в члени'!E7</f>
        <v>26</v>
      </c>
      <c r="F17" s="405">
        <f>E17+'План вступу в члени'!F7</f>
        <v>36</v>
      </c>
      <c r="G17" s="405">
        <f>F17+'План вступу в члени'!G7</f>
        <v>46</v>
      </c>
      <c r="H17" s="405">
        <f>G17+'План вступу в члени'!H7</f>
        <v>51</v>
      </c>
      <c r="I17" s="405">
        <f>H17+'План вступу в члени'!I7</f>
        <v>51</v>
      </c>
      <c r="J17" s="405">
        <f>I17+'План вступу в члени'!J7</f>
        <v>51</v>
      </c>
      <c r="K17" s="405">
        <f>J17+'План вступу в члени'!K7</f>
        <v>51</v>
      </c>
      <c r="L17" s="405">
        <f>K17+'План вступу в члени'!L7</f>
        <v>51</v>
      </c>
      <c r="M17" s="405">
        <f>L17+'План вступу в члени'!M7</f>
        <v>51</v>
      </c>
      <c r="N17" s="406">
        <f>M17</f>
        <v>51</v>
      </c>
    </row>
    <row r="18" spans="1:14" x14ac:dyDescent="0.3">
      <c r="A18" s="407" t="s">
        <v>220</v>
      </c>
      <c r="B18" s="408"/>
      <c r="C18" s="408"/>
      <c r="D18" s="408"/>
      <c r="E18" s="409"/>
      <c r="F18" s="409"/>
      <c r="G18" s="409"/>
      <c r="H18" s="409"/>
      <c r="I18" s="409"/>
      <c r="J18" s="409"/>
      <c r="K18" s="408"/>
      <c r="L18" s="408"/>
      <c r="M18" s="408"/>
      <c r="N18" s="410"/>
    </row>
    <row r="19" spans="1:14" x14ac:dyDescent="0.3">
      <c r="A19" s="150" t="s">
        <v>221</v>
      </c>
      <c r="B19" s="381">
        <f>$B$5*B17/1000</f>
        <v>0.09</v>
      </c>
      <c r="C19" s="381">
        <f>$C$5*C17/1000</f>
        <v>0.13</v>
      </c>
      <c r="D19" s="381">
        <f>$D$5*D17/1000</f>
        <v>0.20799999999999999</v>
      </c>
      <c r="E19" s="381">
        <f>$E$5*E17/1000</f>
        <v>0.36399999999999999</v>
      </c>
      <c r="F19" s="381">
        <f>$F$5*F17/1000</f>
        <v>0.54</v>
      </c>
      <c r="G19" s="381">
        <f>$G$5*G17/1000</f>
        <v>0.73599999999999999</v>
      </c>
      <c r="H19" s="381">
        <f>$H$5*H17/1000</f>
        <v>0.81599999999999995</v>
      </c>
      <c r="I19" s="381">
        <f>$I$5*I17/1000</f>
        <v>0.76500000000000001</v>
      </c>
      <c r="J19" s="381">
        <f>$J$5*J17/1000</f>
        <v>0.71399999999999997</v>
      </c>
      <c r="K19" s="381">
        <f>$K$5*K17/1000</f>
        <v>0.61199999999999999</v>
      </c>
      <c r="L19" s="381">
        <f>$L$5*L17/1000</f>
        <v>0.51</v>
      </c>
      <c r="M19" s="381">
        <f>$M$5*M17/1000</f>
        <v>0.45900000000000002</v>
      </c>
      <c r="N19" s="406"/>
    </row>
    <row r="20" spans="1:14" ht="22.8" x14ac:dyDescent="0.3">
      <c r="A20" s="400" t="s">
        <v>222</v>
      </c>
      <c r="B20" s="381">
        <f>B19*0.2</f>
        <v>1.7999999999999999E-2</v>
      </c>
      <c r="C20" s="381">
        <f t="shared" ref="C20" si="6">C19*0.2</f>
        <v>2.6000000000000002E-2</v>
      </c>
      <c r="D20" s="381">
        <f t="shared" ref="D20" si="7">D19*0.2</f>
        <v>4.1599999999999998E-2</v>
      </c>
      <c r="E20" s="381">
        <f t="shared" ref="E20" si="8">E19*0.2</f>
        <v>7.2800000000000004E-2</v>
      </c>
      <c r="F20" s="381">
        <f t="shared" ref="F20" si="9">F19*0.2</f>
        <v>0.10800000000000001</v>
      </c>
      <c r="G20" s="381">
        <f t="shared" ref="G20" si="10">G19*0.2</f>
        <v>0.1472</v>
      </c>
      <c r="H20" s="381">
        <f t="shared" ref="H20" si="11">H19*0.2</f>
        <v>0.16320000000000001</v>
      </c>
      <c r="I20" s="381">
        <f t="shared" ref="I20" si="12">I19*0.2</f>
        <v>0.15300000000000002</v>
      </c>
      <c r="J20" s="381">
        <f t="shared" ref="J20" si="13">J19*0.2</f>
        <v>0.14280000000000001</v>
      </c>
      <c r="K20" s="381">
        <f t="shared" ref="K20" si="14">K19*0.2</f>
        <v>0.12240000000000001</v>
      </c>
      <c r="L20" s="381">
        <f t="shared" ref="L20" si="15">L19*0.2</f>
        <v>0.10200000000000001</v>
      </c>
      <c r="M20" s="381">
        <f t="shared" ref="M20" si="16">M19*0.2</f>
        <v>9.1800000000000007E-2</v>
      </c>
      <c r="N20" s="382">
        <f>SUM(B20:M20)</f>
        <v>1.1888000000000003</v>
      </c>
    </row>
    <row r="21" spans="1:14" ht="22.8" x14ac:dyDescent="0.3">
      <c r="A21" s="400" t="s">
        <v>223</v>
      </c>
      <c r="B21" s="381">
        <f>B19-B20</f>
        <v>7.1999999999999995E-2</v>
      </c>
      <c r="C21" s="381">
        <f t="shared" ref="C21" si="17">C19-C20</f>
        <v>0.10400000000000001</v>
      </c>
      <c r="D21" s="381">
        <f t="shared" ref="D21" si="18">D19-D20</f>
        <v>0.16639999999999999</v>
      </c>
      <c r="E21" s="381">
        <f t="shared" ref="E21" si="19">E19-E20</f>
        <v>0.29120000000000001</v>
      </c>
      <c r="F21" s="381">
        <f t="shared" ref="F21" si="20">F19-F20</f>
        <v>0.43200000000000005</v>
      </c>
      <c r="G21" s="381">
        <f t="shared" ref="G21" si="21">G19-G20</f>
        <v>0.58879999999999999</v>
      </c>
      <c r="H21" s="381">
        <f t="shared" ref="H21" si="22">H19-H20</f>
        <v>0.65279999999999994</v>
      </c>
      <c r="I21" s="381">
        <f t="shared" ref="I21" si="23">I19-I20</f>
        <v>0.61199999999999999</v>
      </c>
      <c r="J21" s="381">
        <f t="shared" ref="J21" si="24">J19-J20</f>
        <v>0.57119999999999993</v>
      </c>
      <c r="K21" s="381">
        <f t="shared" ref="K21" si="25">K19-K20</f>
        <v>0.48959999999999998</v>
      </c>
      <c r="L21" s="381">
        <f t="shared" ref="L21" si="26">L19-L20</f>
        <v>0.40800000000000003</v>
      </c>
      <c r="M21" s="381">
        <f t="shared" ref="M21" si="27">M19-M20</f>
        <v>0.36720000000000003</v>
      </c>
      <c r="N21" s="382">
        <f>SUM(B21:M21)</f>
        <v>4.7552000000000003</v>
      </c>
    </row>
    <row r="22" spans="1:14" x14ac:dyDescent="0.3">
      <c r="A22" s="411" t="s">
        <v>224</v>
      </c>
      <c r="B22" s="412"/>
      <c r="C22" s="412"/>
      <c r="D22" s="412"/>
      <c r="E22" s="412"/>
      <c r="F22" s="412"/>
      <c r="G22" s="412"/>
      <c r="H22" s="412"/>
      <c r="I22" s="412"/>
      <c r="J22" s="412"/>
      <c r="K22" s="412"/>
      <c r="L22" s="412"/>
      <c r="M22" s="412"/>
      <c r="N22" s="413"/>
    </row>
    <row r="23" spans="1:14" x14ac:dyDescent="0.3">
      <c r="A23" s="150" t="s">
        <v>225</v>
      </c>
      <c r="B23" s="381">
        <f>B19*B$4</f>
        <v>1.7999999999999998</v>
      </c>
      <c r="C23" s="381">
        <f t="shared" ref="C23:M23" si="28">C19*C$4</f>
        <v>2.6</v>
      </c>
      <c r="D23" s="381">
        <f t="shared" si="28"/>
        <v>4.5759999999999996</v>
      </c>
      <c r="E23" s="381">
        <f t="shared" si="28"/>
        <v>7.6440000000000001</v>
      </c>
      <c r="F23" s="381">
        <f t="shared" si="28"/>
        <v>11.88</v>
      </c>
      <c r="G23" s="381">
        <f t="shared" si="28"/>
        <v>15.456</v>
      </c>
      <c r="H23" s="381">
        <f t="shared" si="28"/>
        <v>17.951999999999998</v>
      </c>
      <c r="I23" s="381">
        <f t="shared" si="28"/>
        <v>16.830000000000002</v>
      </c>
      <c r="J23" s="381">
        <f t="shared" si="28"/>
        <v>14.994</v>
      </c>
      <c r="K23" s="381">
        <f t="shared" si="28"/>
        <v>12.852</v>
      </c>
      <c r="L23" s="381">
        <f t="shared" si="28"/>
        <v>10.199999999999999</v>
      </c>
      <c r="M23" s="381">
        <f t="shared" si="28"/>
        <v>9.18</v>
      </c>
      <c r="N23" s="382"/>
    </row>
    <row r="24" spans="1:14" ht="22.8" x14ac:dyDescent="0.3">
      <c r="A24" s="400" t="s">
        <v>222</v>
      </c>
      <c r="B24" s="381">
        <f>B23*0.2</f>
        <v>0.36</v>
      </c>
      <c r="C24" s="381">
        <f t="shared" ref="C24:M24" si="29">C23*0.2</f>
        <v>0.52</v>
      </c>
      <c r="D24" s="381">
        <f t="shared" si="29"/>
        <v>0.91520000000000001</v>
      </c>
      <c r="E24" s="381">
        <f t="shared" si="29"/>
        <v>1.5288000000000002</v>
      </c>
      <c r="F24" s="381">
        <f t="shared" si="29"/>
        <v>2.3760000000000003</v>
      </c>
      <c r="G24" s="381">
        <f t="shared" si="29"/>
        <v>3.0912000000000002</v>
      </c>
      <c r="H24" s="381">
        <f t="shared" si="29"/>
        <v>3.5903999999999998</v>
      </c>
      <c r="I24" s="381">
        <f t="shared" si="29"/>
        <v>3.3660000000000005</v>
      </c>
      <c r="J24" s="381">
        <f t="shared" si="29"/>
        <v>2.9988000000000001</v>
      </c>
      <c r="K24" s="381">
        <f t="shared" si="29"/>
        <v>2.5704000000000002</v>
      </c>
      <c r="L24" s="381">
        <f t="shared" si="29"/>
        <v>2.04</v>
      </c>
      <c r="M24" s="381">
        <f t="shared" si="29"/>
        <v>1.8360000000000001</v>
      </c>
      <c r="N24" s="382">
        <f>SUM(B24:M24)</f>
        <v>25.192799999999995</v>
      </c>
    </row>
    <row r="25" spans="1:14" ht="23.4" thickBot="1" x14ac:dyDescent="0.35">
      <c r="A25" s="401" t="s">
        <v>223</v>
      </c>
      <c r="B25" s="414">
        <f>B23-B24</f>
        <v>1.44</v>
      </c>
      <c r="C25" s="414">
        <f t="shared" ref="C25:M25" si="30">C23-C24</f>
        <v>2.08</v>
      </c>
      <c r="D25" s="414">
        <f t="shared" si="30"/>
        <v>3.6607999999999996</v>
      </c>
      <c r="E25" s="414">
        <f t="shared" si="30"/>
        <v>6.1151999999999997</v>
      </c>
      <c r="F25" s="414">
        <f t="shared" si="30"/>
        <v>9.5040000000000013</v>
      </c>
      <c r="G25" s="414">
        <f t="shared" si="30"/>
        <v>12.364799999999999</v>
      </c>
      <c r="H25" s="414">
        <f t="shared" si="30"/>
        <v>14.361599999999999</v>
      </c>
      <c r="I25" s="414">
        <f t="shared" si="30"/>
        <v>13.464000000000002</v>
      </c>
      <c r="J25" s="414">
        <f t="shared" si="30"/>
        <v>11.995200000000001</v>
      </c>
      <c r="K25" s="414">
        <f t="shared" si="30"/>
        <v>10.281600000000001</v>
      </c>
      <c r="L25" s="414">
        <f t="shared" si="30"/>
        <v>8.16</v>
      </c>
      <c r="M25" s="414">
        <f t="shared" si="30"/>
        <v>7.3439999999999994</v>
      </c>
      <c r="N25" s="415">
        <f>SUM(B25:M25)</f>
        <v>100.77119999999998</v>
      </c>
    </row>
    <row r="26" spans="1:14" x14ac:dyDescent="0.3">
      <c r="A26" s="495" t="str">
        <f>'План вступу в члени'!A8</f>
        <v>Село 3</v>
      </c>
      <c r="B26" s="496"/>
      <c r="C26" s="496"/>
      <c r="D26" s="496"/>
      <c r="E26" s="496"/>
      <c r="F26" s="496"/>
      <c r="G26" s="496"/>
      <c r="H26" s="496"/>
      <c r="I26" s="496"/>
      <c r="J26" s="496"/>
      <c r="K26" s="496"/>
      <c r="L26" s="496"/>
      <c r="M26" s="496"/>
      <c r="N26" s="497"/>
    </row>
    <row r="27" spans="1:14" x14ac:dyDescent="0.3">
      <c r="A27" s="145" t="s">
        <v>219</v>
      </c>
      <c r="B27" s="405">
        <f>'План вступу в члени'!B8</f>
        <v>0</v>
      </c>
      <c r="C27" s="405">
        <f>B27+'План вступу в члени'!C8</f>
        <v>0</v>
      </c>
      <c r="D27" s="405">
        <f>C27+'План вступу в члени'!D8</f>
        <v>0</v>
      </c>
      <c r="E27" s="405">
        <f>D27+'План вступу в члени'!E8</f>
        <v>0</v>
      </c>
      <c r="F27" s="405">
        <f>E27+'План вступу в члени'!F8</f>
        <v>0</v>
      </c>
      <c r="G27" s="405">
        <f>F27+'План вступу в члени'!G8</f>
        <v>0</v>
      </c>
      <c r="H27" s="405">
        <f>G27+'План вступу в члени'!H8</f>
        <v>5</v>
      </c>
      <c r="I27" s="405">
        <f>H27+'План вступу в члени'!I8</f>
        <v>10</v>
      </c>
      <c r="J27" s="405">
        <f>I27+'План вступу в члени'!J8</f>
        <v>15</v>
      </c>
      <c r="K27" s="405">
        <f>J27+'План вступу в члени'!K8</f>
        <v>15</v>
      </c>
      <c r="L27" s="405">
        <f>K27+'План вступу в члени'!L8</f>
        <v>15</v>
      </c>
      <c r="M27" s="405">
        <f>L27+'План вступу в члени'!M8</f>
        <v>15</v>
      </c>
      <c r="N27" s="406">
        <f>M27</f>
        <v>15</v>
      </c>
    </row>
    <row r="28" spans="1:14" x14ac:dyDescent="0.3">
      <c r="A28" s="407" t="s">
        <v>220</v>
      </c>
      <c r="B28" s="408"/>
      <c r="C28" s="408"/>
      <c r="D28" s="408"/>
      <c r="E28" s="409"/>
      <c r="F28" s="409"/>
      <c r="G28" s="409"/>
      <c r="H28" s="409"/>
      <c r="I28" s="409"/>
      <c r="J28" s="409"/>
      <c r="K28" s="408"/>
      <c r="L28" s="408"/>
      <c r="M28" s="408"/>
      <c r="N28" s="410"/>
    </row>
    <row r="29" spans="1:14" x14ac:dyDescent="0.3">
      <c r="A29" s="150" t="s">
        <v>221</v>
      </c>
      <c r="B29" s="381">
        <f>$B$5*B27/1000</f>
        <v>0</v>
      </c>
      <c r="C29" s="381">
        <f>$C$5*C27/1000</f>
        <v>0</v>
      </c>
      <c r="D29" s="381">
        <f>$D$5*D27/1000</f>
        <v>0</v>
      </c>
      <c r="E29" s="381">
        <f>$E$5*E27/1000</f>
        <v>0</v>
      </c>
      <c r="F29" s="381">
        <f>$F$5*F27/1000</f>
        <v>0</v>
      </c>
      <c r="G29" s="381">
        <f>$G$5*G27/1000</f>
        <v>0</v>
      </c>
      <c r="H29" s="381">
        <f>$H$5*H27/1000</f>
        <v>0.08</v>
      </c>
      <c r="I29" s="381">
        <f>$I$5*I27/1000</f>
        <v>0.15</v>
      </c>
      <c r="J29" s="381">
        <f>$J$5*J27/1000</f>
        <v>0.21</v>
      </c>
      <c r="K29" s="381">
        <f>$K$5*K27/1000</f>
        <v>0.18</v>
      </c>
      <c r="L29" s="381">
        <f>$L$5*L27/1000</f>
        <v>0.15</v>
      </c>
      <c r="M29" s="381">
        <f>$M$5*M27/1000</f>
        <v>0.13500000000000001</v>
      </c>
      <c r="N29" s="406"/>
    </row>
    <row r="30" spans="1:14" ht="22.8" x14ac:dyDescent="0.3">
      <c r="A30" s="400" t="s">
        <v>222</v>
      </c>
      <c r="B30" s="381">
        <f>B29*0.2</f>
        <v>0</v>
      </c>
      <c r="C30" s="381">
        <f t="shared" ref="C30" si="31">C29*0.2</f>
        <v>0</v>
      </c>
      <c r="D30" s="381">
        <f t="shared" ref="D30" si="32">D29*0.2</f>
        <v>0</v>
      </c>
      <c r="E30" s="381">
        <f t="shared" ref="E30" si="33">E29*0.2</f>
        <v>0</v>
      </c>
      <c r="F30" s="381">
        <f t="shared" ref="F30" si="34">F29*0.2</f>
        <v>0</v>
      </c>
      <c r="G30" s="381">
        <f t="shared" ref="G30" si="35">G29*0.2</f>
        <v>0</v>
      </c>
      <c r="H30" s="381">
        <f t="shared" ref="H30" si="36">H29*0.2</f>
        <v>1.6E-2</v>
      </c>
      <c r="I30" s="381">
        <f t="shared" ref="I30" si="37">I29*0.2</f>
        <v>0.03</v>
      </c>
      <c r="J30" s="381">
        <f t="shared" ref="J30" si="38">J29*0.2</f>
        <v>4.2000000000000003E-2</v>
      </c>
      <c r="K30" s="381">
        <f t="shared" ref="K30" si="39">K29*0.2</f>
        <v>3.5999999999999997E-2</v>
      </c>
      <c r="L30" s="381">
        <f t="shared" ref="L30" si="40">L29*0.2</f>
        <v>0.03</v>
      </c>
      <c r="M30" s="381">
        <f t="shared" ref="M30" si="41">M29*0.2</f>
        <v>2.7000000000000003E-2</v>
      </c>
      <c r="N30" s="382">
        <f>SUM(B30:M30)</f>
        <v>0.18099999999999999</v>
      </c>
    </row>
    <row r="31" spans="1:14" ht="22.8" x14ac:dyDescent="0.3">
      <c r="A31" s="400" t="s">
        <v>223</v>
      </c>
      <c r="B31" s="381">
        <f>B29-B30</f>
        <v>0</v>
      </c>
      <c r="C31" s="381">
        <f t="shared" ref="C31" si="42">C29-C30</f>
        <v>0</v>
      </c>
      <c r="D31" s="381">
        <f t="shared" ref="D31" si="43">D29-D30</f>
        <v>0</v>
      </c>
      <c r="E31" s="381">
        <f t="shared" ref="E31" si="44">E29-E30</f>
        <v>0</v>
      </c>
      <c r="F31" s="381">
        <f t="shared" ref="F31" si="45">F29-F30</f>
        <v>0</v>
      </c>
      <c r="G31" s="381">
        <f t="shared" ref="G31" si="46">G29-G30</f>
        <v>0</v>
      </c>
      <c r="H31" s="381">
        <f t="shared" ref="H31" si="47">H29-H30</f>
        <v>6.4000000000000001E-2</v>
      </c>
      <c r="I31" s="381">
        <f t="shared" ref="I31" si="48">I29-I30</f>
        <v>0.12</v>
      </c>
      <c r="J31" s="381">
        <f t="shared" ref="J31" si="49">J29-J30</f>
        <v>0.16799999999999998</v>
      </c>
      <c r="K31" s="381">
        <f t="shared" ref="K31" si="50">K29-K30</f>
        <v>0.14399999999999999</v>
      </c>
      <c r="L31" s="381">
        <f t="shared" ref="L31" si="51">L29-L30</f>
        <v>0.12</v>
      </c>
      <c r="M31" s="381">
        <f t="shared" ref="M31" si="52">M29-M30</f>
        <v>0.10800000000000001</v>
      </c>
      <c r="N31" s="382">
        <f>SUM(B31:M31)</f>
        <v>0.72399999999999998</v>
      </c>
    </row>
    <row r="32" spans="1:14" x14ac:dyDescent="0.3">
      <c r="A32" s="411" t="s">
        <v>224</v>
      </c>
      <c r="B32" s="412"/>
      <c r="C32" s="412"/>
      <c r="D32" s="412"/>
      <c r="E32" s="412"/>
      <c r="F32" s="412"/>
      <c r="G32" s="412"/>
      <c r="H32" s="412"/>
      <c r="I32" s="412"/>
      <c r="J32" s="412"/>
      <c r="K32" s="412"/>
      <c r="L32" s="412"/>
      <c r="M32" s="412"/>
      <c r="N32" s="413"/>
    </row>
    <row r="33" spans="1:14" x14ac:dyDescent="0.3">
      <c r="A33" s="150" t="s">
        <v>225</v>
      </c>
      <c r="B33" s="381">
        <f>B29*B$4</f>
        <v>0</v>
      </c>
      <c r="C33" s="381">
        <f t="shared" ref="C33:M33" si="53">C29*C$4</f>
        <v>0</v>
      </c>
      <c r="D33" s="381">
        <f t="shared" si="53"/>
        <v>0</v>
      </c>
      <c r="E33" s="381">
        <f t="shared" si="53"/>
        <v>0</v>
      </c>
      <c r="F33" s="381">
        <f t="shared" si="53"/>
        <v>0</v>
      </c>
      <c r="G33" s="381">
        <f t="shared" si="53"/>
        <v>0</v>
      </c>
      <c r="H33" s="381">
        <f t="shared" si="53"/>
        <v>1.76</v>
      </c>
      <c r="I33" s="381">
        <f t="shared" si="53"/>
        <v>3.3</v>
      </c>
      <c r="J33" s="381">
        <f t="shared" si="53"/>
        <v>4.41</v>
      </c>
      <c r="K33" s="381">
        <f t="shared" si="53"/>
        <v>3.78</v>
      </c>
      <c r="L33" s="381">
        <f t="shared" si="53"/>
        <v>3</v>
      </c>
      <c r="M33" s="381">
        <f t="shared" si="53"/>
        <v>2.7</v>
      </c>
      <c r="N33" s="382"/>
    </row>
    <row r="34" spans="1:14" ht="22.8" x14ac:dyDescent="0.3">
      <c r="A34" s="400" t="s">
        <v>222</v>
      </c>
      <c r="B34" s="381">
        <f>B33*0.2</f>
        <v>0</v>
      </c>
      <c r="C34" s="381">
        <f t="shared" ref="C34" si="54">C33*0.2</f>
        <v>0</v>
      </c>
      <c r="D34" s="381">
        <f t="shared" ref="D34" si="55">D33*0.2</f>
        <v>0</v>
      </c>
      <c r="E34" s="381">
        <f t="shared" ref="E34" si="56">E33*0.2</f>
        <v>0</v>
      </c>
      <c r="F34" s="381">
        <f t="shared" ref="F34" si="57">F33*0.2</f>
        <v>0</v>
      </c>
      <c r="G34" s="381">
        <f t="shared" ref="G34" si="58">G33*0.2</f>
        <v>0</v>
      </c>
      <c r="H34" s="381">
        <f t="shared" ref="H34" si="59">H33*0.2</f>
        <v>0.35200000000000004</v>
      </c>
      <c r="I34" s="381">
        <f t="shared" ref="I34" si="60">I33*0.2</f>
        <v>0.66</v>
      </c>
      <c r="J34" s="381">
        <f t="shared" ref="J34" si="61">J33*0.2</f>
        <v>0.88200000000000012</v>
      </c>
      <c r="K34" s="381">
        <f t="shared" ref="K34" si="62">K33*0.2</f>
        <v>0.75600000000000001</v>
      </c>
      <c r="L34" s="381">
        <f t="shared" ref="L34" si="63">L33*0.2</f>
        <v>0.60000000000000009</v>
      </c>
      <c r="M34" s="381">
        <f t="shared" ref="M34" si="64">M33*0.2</f>
        <v>0.54</v>
      </c>
      <c r="N34" s="382">
        <f>SUM(B34:M34)</f>
        <v>3.7900000000000005</v>
      </c>
    </row>
    <row r="35" spans="1:14" ht="23.4" thickBot="1" x14ac:dyDescent="0.35">
      <c r="A35" s="401" t="s">
        <v>223</v>
      </c>
      <c r="B35" s="414">
        <f>B33-B34</f>
        <v>0</v>
      </c>
      <c r="C35" s="414">
        <f t="shared" ref="C35" si="65">C33-C34</f>
        <v>0</v>
      </c>
      <c r="D35" s="414">
        <f t="shared" ref="D35" si="66">D33-D34</f>
        <v>0</v>
      </c>
      <c r="E35" s="414">
        <f t="shared" ref="E35" si="67">E33-E34</f>
        <v>0</v>
      </c>
      <c r="F35" s="414">
        <f t="shared" ref="F35" si="68">F33-F34</f>
        <v>0</v>
      </c>
      <c r="G35" s="414">
        <f t="shared" ref="G35" si="69">G33-G34</f>
        <v>0</v>
      </c>
      <c r="H35" s="414">
        <f t="shared" ref="H35" si="70">H33-H34</f>
        <v>1.4079999999999999</v>
      </c>
      <c r="I35" s="414">
        <f t="shared" ref="I35" si="71">I33-I34</f>
        <v>2.6399999999999997</v>
      </c>
      <c r="J35" s="414">
        <f t="shared" ref="J35" si="72">J33-J34</f>
        <v>3.528</v>
      </c>
      <c r="K35" s="414">
        <f t="shared" ref="K35" si="73">K33-K34</f>
        <v>3.024</v>
      </c>
      <c r="L35" s="414">
        <f t="shared" ref="L35" si="74">L33-L34</f>
        <v>2.4</v>
      </c>
      <c r="M35" s="414">
        <f t="shared" ref="M35" si="75">M33-M34</f>
        <v>2.16</v>
      </c>
      <c r="N35" s="415">
        <f>SUM(B35:M35)</f>
        <v>15.160000000000002</v>
      </c>
    </row>
    <row r="36" spans="1:14" x14ac:dyDescent="0.3">
      <c r="A36" s="495" t="str">
        <f>'План вступу в члени'!A9</f>
        <v>Село 4</v>
      </c>
      <c r="B36" s="496"/>
      <c r="C36" s="496"/>
      <c r="D36" s="496"/>
      <c r="E36" s="496"/>
      <c r="F36" s="496"/>
      <c r="G36" s="496"/>
      <c r="H36" s="496"/>
      <c r="I36" s="496"/>
      <c r="J36" s="496"/>
      <c r="K36" s="496"/>
      <c r="L36" s="496"/>
      <c r="M36" s="496"/>
      <c r="N36" s="497"/>
    </row>
    <row r="37" spans="1:14" x14ac:dyDescent="0.3">
      <c r="A37" s="145" t="s">
        <v>219</v>
      </c>
      <c r="B37" s="405">
        <f>'План вступу в члени'!B9</f>
        <v>0</v>
      </c>
      <c r="C37" s="405">
        <f>B37+'План вступу в члени'!C9</f>
        <v>0</v>
      </c>
      <c r="D37" s="405">
        <f>C37+'План вступу в члени'!D9</f>
        <v>0</v>
      </c>
      <c r="E37" s="405">
        <f>D37+'План вступу в члени'!E9</f>
        <v>0</v>
      </c>
      <c r="F37" s="405">
        <f>E37+'План вступу в члени'!F9</f>
        <v>0</v>
      </c>
      <c r="G37" s="405">
        <f>F37+'План вступу в члени'!G9</f>
        <v>0</v>
      </c>
      <c r="H37" s="405">
        <f>G37+'План вступу в члени'!H9</f>
        <v>0</v>
      </c>
      <c r="I37" s="405">
        <f>H37+'План вступу в члени'!I9</f>
        <v>0</v>
      </c>
      <c r="J37" s="405">
        <f>I37+'План вступу в члени'!J9</f>
        <v>5</v>
      </c>
      <c r="K37" s="405">
        <f>J37+'План вступу в члени'!K9</f>
        <v>10</v>
      </c>
      <c r="L37" s="405">
        <f>K37+'План вступу в члени'!L9</f>
        <v>15</v>
      </c>
      <c r="M37" s="405">
        <f>L37+'План вступу в члени'!M9</f>
        <v>20</v>
      </c>
      <c r="N37" s="406">
        <f>M37</f>
        <v>20</v>
      </c>
    </row>
    <row r="38" spans="1:14" x14ac:dyDescent="0.3">
      <c r="A38" s="407" t="s">
        <v>220</v>
      </c>
      <c r="B38" s="408"/>
      <c r="C38" s="408"/>
      <c r="D38" s="408"/>
      <c r="E38" s="409"/>
      <c r="F38" s="409"/>
      <c r="G38" s="409"/>
      <c r="H38" s="409"/>
      <c r="I38" s="409"/>
      <c r="J38" s="409"/>
      <c r="K38" s="408"/>
      <c r="L38" s="408"/>
      <c r="M38" s="408"/>
      <c r="N38" s="410"/>
    </row>
    <row r="39" spans="1:14" x14ac:dyDescent="0.3">
      <c r="A39" s="150" t="s">
        <v>221</v>
      </c>
      <c r="B39" s="381">
        <f>$B$5*B37/1000</f>
        <v>0</v>
      </c>
      <c r="C39" s="381">
        <f>$C$5*C37/1000</f>
        <v>0</v>
      </c>
      <c r="D39" s="381">
        <f>$D$5*D37/1000</f>
        <v>0</v>
      </c>
      <c r="E39" s="381">
        <f>$E$5*E37/1000</f>
        <v>0</v>
      </c>
      <c r="F39" s="381">
        <f>$F$5*F37/1000</f>
        <v>0</v>
      </c>
      <c r="G39" s="381">
        <f>$G$5*G37/1000</f>
        <v>0</v>
      </c>
      <c r="H39" s="381">
        <f>$H$5*H37/1000</f>
        <v>0</v>
      </c>
      <c r="I39" s="381">
        <f>$I$5*I37/1000</f>
        <v>0</v>
      </c>
      <c r="J39" s="381">
        <f>$J$5*J37/1000</f>
        <v>7.0000000000000007E-2</v>
      </c>
      <c r="K39" s="381">
        <f>$K$5*K37/1000</f>
        <v>0.12</v>
      </c>
      <c r="L39" s="381">
        <f>$L$5*L37/1000</f>
        <v>0.15</v>
      </c>
      <c r="M39" s="381">
        <f>$M$5*M37/1000</f>
        <v>0.18</v>
      </c>
      <c r="N39" s="406"/>
    </row>
    <row r="40" spans="1:14" ht="22.8" x14ac:dyDescent="0.3">
      <c r="A40" s="400" t="s">
        <v>222</v>
      </c>
      <c r="B40" s="381">
        <f>B39*0.2</f>
        <v>0</v>
      </c>
      <c r="C40" s="381">
        <f t="shared" ref="C40" si="76">C39*0.2</f>
        <v>0</v>
      </c>
      <c r="D40" s="381">
        <f t="shared" ref="D40" si="77">D39*0.2</f>
        <v>0</v>
      </c>
      <c r="E40" s="381">
        <f t="shared" ref="E40" si="78">E39*0.2</f>
        <v>0</v>
      </c>
      <c r="F40" s="381">
        <f t="shared" ref="F40" si="79">F39*0.2</f>
        <v>0</v>
      </c>
      <c r="G40" s="381">
        <f t="shared" ref="G40" si="80">G39*0.2</f>
        <v>0</v>
      </c>
      <c r="H40" s="381">
        <f t="shared" ref="H40" si="81">H39*0.2</f>
        <v>0</v>
      </c>
      <c r="I40" s="381">
        <f t="shared" ref="I40" si="82">I39*0.2</f>
        <v>0</v>
      </c>
      <c r="J40" s="381">
        <f t="shared" ref="J40" si="83">J39*0.2</f>
        <v>1.4000000000000002E-2</v>
      </c>
      <c r="K40" s="381">
        <f t="shared" ref="K40" si="84">K39*0.2</f>
        <v>2.4E-2</v>
      </c>
      <c r="L40" s="381">
        <f t="shared" ref="L40" si="85">L39*0.2</f>
        <v>0.03</v>
      </c>
      <c r="M40" s="381">
        <f t="shared" ref="M40" si="86">M39*0.2</f>
        <v>3.5999999999999997E-2</v>
      </c>
      <c r="N40" s="382">
        <f>SUM(B40:M40)</f>
        <v>0.10400000000000001</v>
      </c>
    </row>
    <row r="41" spans="1:14" ht="22.8" x14ac:dyDescent="0.3">
      <c r="A41" s="400" t="s">
        <v>223</v>
      </c>
      <c r="B41" s="381">
        <f>B39-B40</f>
        <v>0</v>
      </c>
      <c r="C41" s="381">
        <f t="shared" ref="C41" si="87">C39-C40</f>
        <v>0</v>
      </c>
      <c r="D41" s="381">
        <f t="shared" ref="D41" si="88">D39-D40</f>
        <v>0</v>
      </c>
      <c r="E41" s="381">
        <f t="shared" ref="E41" si="89">E39-E40</f>
        <v>0</v>
      </c>
      <c r="F41" s="381">
        <f t="shared" ref="F41" si="90">F39-F40</f>
        <v>0</v>
      </c>
      <c r="G41" s="381">
        <f t="shared" ref="G41" si="91">G39-G40</f>
        <v>0</v>
      </c>
      <c r="H41" s="381">
        <f t="shared" ref="H41" si="92">H39-H40</f>
        <v>0</v>
      </c>
      <c r="I41" s="381">
        <f t="shared" ref="I41" si="93">I39-I40</f>
        <v>0</v>
      </c>
      <c r="J41" s="381">
        <f t="shared" ref="J41" si="94">J39-J40</f>
        <v>5.6000000000000008E-2</v>
      </c>
      <c r="K41" s="381">
        <f t="shared" ref="K41" si="95">K39-K40</f>
        <v>9.6000000000000002E-2</v>
      </c>
      <c r="L41" s="381">
        <f t="shared" ref="L41" si="96">L39-L40</f>
        <v>0.12</v>
      </c>
      <c r="M41" s="381">
        <f t="shared" ref="M41" si="97">M39-M40</f>
        <v>0.14399999999999999</v>
      </c>
      <c r="N41" s="382">
        <f>SUM(B41:M41)</f>
        <v>0.41600000000000004</v>
      </c>
    </row>
    <row r="42" spans="1:14" x14ac:dyDescent="0.3">
      <c r="A42" s="411" t="s">
        <v>224</v>
      </c>
      <c r="B42" s="412"/>
      <c r="C42" s="412"/>
      <c r="D42" s="412"/>
      <c r="E42" s="412"/>
      <c r="F42" s="412"/>
      <c r="G42" s="412"/>
      <c r="H42" s="412"/>
      <c r="I42" s="412"/>
      <c r="J42" s="412"/>
      <c r="K42" s="412"/>
      <c r="L42" s="412"/>
      <c r="M42" s="412"/>
      <c r="N42" s="413"/>
    </row>
    <row r="43" spans="1:14" x14ac:dyDescent="0.3">
      <c r="A43" s="150" t="s">
        <v>225</v>
      </c>
      <c r="B43" s="381">
        <f>B39*B$4</f>
        <v>0</v>
      </c>
      <c r="C43" s="381">
        <f t="shared" ref="C43:M43" si="98">C39*C$4</f>
        <v>0</v>
      </c>
      <c r="D43" s="381">
        <f t="shared" si="98"/>
        <v>0</v>
      </c>
      <c r="E43" s="381">
        <f t="shared" si="98"/>
        <v>0</v>
      </c>
      <c r="F43" s="381">
        <f t="shared" si="98"/>
        <v>0</v>
      </c>
      <c r="G43" s="381">
        <f t="shared" si="98"/>
        <v>0</v>
      </c>
      <c r="H43" s="381">
        <f t="shared" si="98"/>
        <v>0</v>
      </c>
      <c r="I43" s="381">
        <f t="shared" si="98"/>
        <v>0</v>
      </c>
      <c r="J43" s="381">
        <f t="shared" si="98"/>
        <v>1.4700000000000002</v>
      </c>
      <c r="K43" s="381">
        <f t="shared" si="98"/>
        <v>2.52</v>
      </c>
      <c r="L43" s="381">
        <f t="shared" si="98"/>
        <v>3</v>
      </c>
      <c r="M43" s="381">
        <f t="shared" si="98"/>
        <v>3.5999999999999996</v>
      </c>
      <c r="N43" s="382"/>
    </row>
    <row r="44" spans="1:14" ht="22.8" x14ac:dyDescent="0.3">
      <c r="A44" s="400" t="s">
        <v>222</v>
      </c>
      <c r="B44" s="381">
        <f>B43*0.2</f>
        <v>0</v>
      </c>
      <c r="C44" s="381">
        <f t="shared" ref="C44" si="99">C43*0.2</f>
        <v>0</v>
      </c>
      <c r="D44" s="381">
        <f t="shared" ref="D44" si="100">D43*0.2</f>
        <v>0</v>
      </c>
      <c r="E44" s="381">
        <f t="shared" ref="E44" si="101">E43*0.2</f>
        <v>0</v>
      </c>
      <c r="F44" s="381">
        <f t="shared" ref="F44" si="102">F43*0.2</f>
        <v>0</v>
      </c>
      <c r="G44" s="381">
        <f t="shared" ref="G44" si="103">G43*0.2</f>
        <v>0</v>
      </c>
      <c r="H44" s="381">
        <f t="shared" ref="H44" si="104">H43*0.2</f>
        <v>0</v>
      </c>
      <c r="I44" s="381">
        <f t="shared" ref="I44" si="105">I43*0.2</f>
        <v>0</v>
      </c>
      <c r="J44" s="381">
        <f t="shared" ref="J44" si="106">J43*0.2</f>
        <v>0.29400000000000004</v>
      </c>
      <c r="K44" s="381">
        <f t="shared" ref="K44" si="107">K43*0.2</f>
        <v>0.504</v>
      </c>
      <c r="L44" s="381">
        <f t="shared" ref="L44" si="108">L43*0.2</f>
        <v>0.60000000000000009</v>
      </c>
      <c r="M44" s="381">
        <f t="shared" ref="M44" si="109">M43*0.2</f>
        <v>0.72</v>
      </c>
      <c r="N44" s="382">
        <f>SUM(B44:M44)</f>
        <v>2.1180000000000003</v>
      </c>
    </row>
    <row r="45" spans="1:14" ht="23.4" thickBot="1" x14ac:dyDescent="0.35">
      <c r="A45" s="401" t="s">
        <v>223</v>
      </c>
      <c r="B45" s="414">
        <f>B43-B44</f>
        <v>0</v>
      </c>
      <c r="C45" s="414">
        <f t="shared" ref="C45" si="110">C43-C44</f>
        <v>0</v>
      </c>
      <c r="D45" s="414">
        <f t="shared" ref="D45" si="111">D43-D44</f>
        <v>0</v>
      </c>
      <c r="E45" s="414">
        <f t="shared" ref="E45" si="112">E43-E44</f>
        <v>0</v>
      </c>
      <c r="F45" s="414">
        <f t="shared" ref="F45" si="113">F43-F44</f>
        <v>0</v>
      </c>
      <c r="G45" s="414">
        <f t="shared" ref="G45" si="114">G43-G44</f>
        <v>0</v>
      </c>
      <c r="H45" s="414">
        <f t="shared" ref="H45" si="115">H43-H44</f>
        <v>0</v>
      </c>
      <c r="I45" s="414">
        <f t="shared" ref="I45" si="116">I43-I44</f>
        <v>0</v>
      </c>
      <c r="J45" s="414">
        <f t="shared" ref="J45" si="117">J43-J44</f>
        <v>1.1760000000000002</v>
      </c>
      <c r="K45" s="414">
        <f t="shared" ref="K45" si="118">K43-K44</f>
        <v>2.016</v>
      </c>
      <c r="L45" s="414">
        <f t="shared" ref="L45" si="119">L43-L44</f>
        <v>2.4</v>
      </c>
      <c r="M45" s="414">
        <f t="shared" ref="M45" si="120">M43-M44</f>
        <v>2.88</v>
      </c>
      <c r="N45" s="415">
        <f>SUM(B45:M45)</f>
        <v>8.4720000000000013</v>
      </c>
    </row>
    <row r="47" spans="1:14" x14ac:dyDescent="0.3">
      <c r="N47" s="416"/>
    </row>
    <row r="48" spans="1:14" ht="15" customHeight="1" thickBot="1" x14ac:dyDescent="0.35">
      <c r="A48" s="486" t="s">
        <v>215</v>
      </c>
      <c r="B48" s="486"/>
      <c r="C48" s="486"/>
      <c r="D48" s="486"/>
      <c r="E48" s="486"/>
      <c r="F48" s="486"/>
      <c r="G48" s="486"/>
      <c r="H48" s="486"/>
      <c r="I48" s="486"/>
      <c r="J48" s="486"/>
      <c r="K48" s="486"/>
      <c r="L48" s="486"/>
      <c r="M48" s="486"/>
      <c r="N48" s="486"/>
    </row>
    <row r="49" spans="1:14" x14ac:dyDescent="0.3">
      <c r="A49" s="487" t="s">
        <v>32</v>
      </c>
      <c r="B49" s="489" t="s">
        <v>33</v>
      </c>
      <c r="C49" s="490"/>
      <c r="D49" s="490"/>
      <c r="E49" s="490"/>
      <c r="F49" s="490"/>
      <c r="G49" s="490"/>
      <c r="H49" s="490"/>
      <c r="I49" s="490"/>
      <c r="J49" s="490"/>
      <c r="K49" s="490"/>
      <c r="L49" s="490"/>
      <c r="M49" s="491"/>
      <c r="N49" s="492" t="s">
        <v>209</v>
      </c>
    </row>
    <row r="50" spans="1:14" ht="15" thickBot="1" x14ac:dyDescent="0.35">
      <c r="A50" s="488"/>
      <c r="B50" s="249" t="s">
        <v>34</v>
      </c>
      <c r="C50" s="266" t="s">
        <v>35</v>
      </c>
      <c r="D50" s="266" t="s">
        <v>36</v>
      </c>
      <c r="E50" s="266" t="s">
        <v>37</v>
      </c>
      <c r="F50" s="266" t="s">
        <v>38</v>
      </c>
      <c r="G50" s="266" t="s">
        <v>39</v>
      </c>
      <c r="H50" s="266" t="s">
        <v>40</v>
      </c>
      <c r="I50" s="266" t="s">
        <v>41</v>
      </c>
      <c r="J50" s="266" t="s">
        <v>42</v>
      </c>
      <c r="K50" s="266" t="s">
        <v>43</v>
      </c>
      <c r="L50" s="266" t="s">
        <v>44</v>
      </c>
      <c r="M50" s="266" t="s">
        <v>45</v>
      </c>
      <c r="N50" s="493"/>
    </row>
    <row r="51" spans="1:14" x14ac:dyDescent="0.3">
      <c r="A51" s="164" t="s">
        <v>217</v>
      </c>
      <c r="B51" s="358">
        <f>Довідник!B25</f>
        <v>20</v>
      </c>
      <c r="C51" s="358">
        <f>Довідник!C25</f>
        <v>20</v>
      </c>
      <c r="D51" s="358">
        <f>Довідник!D25</f>
        <v>22</v>
      </c>
      <c r="E51" s="358">
        <f>Довідник!E25</f>
        <v>21</v>
      </c>
      <c r="F51" s="358">
        <f>Довідник!F25</f>
        <v>22</v>
      </c>
      <c r="G51" s="358">
        <f>Довідник!G25</f>
        <v>21</v>
      </c>
      <c r="H51" s="358">
        <f>Довідник!H25</f>
        <v>22</v>
      </c>
      <c r="I51" s="358">
        <f>Довідник!I25</f>
        <v>22</v>
      </c>
      <c r="J51" s="358">
        <f>Довідник!J25</f>
        <v>21</v>
      </c>
      <c r="K51" s="358">
        <f>Довідник!K25</f>
        <v>21</v>
      </c>
      <c r="L51" s="358">
        <f>Довідник!L25</f>
        <v>20</v>
      </c>
      <c r="M51" s="358">
        <f>Довідник!M25</f>
        <v>20</v>
      </c>
      <c r="N51" s="359">
        <f>SUM(B51:M51)</f>
        <v>252</v>
      </c>
    </row>
    <row r="52" spans="1:14" ht="23.4" thickBot="1" x14ac:dyDescent="0.35">
      <c r="A52" s="171" t="s">
        <v>218</v>
      </c>
      <c r="B52" s="417">
        <f>Довідник!B31</f>
        <v>10</v>
      </c>
      <c r="C52" s="417">
        <f>Довідник!C31</f>
        <v>11</v>
      </c>
      <c r="D52" s="417">
        <f>Довідник!D31</f>
        <v>14</v>
      </c>
      <c r="E52" s="417">
        <f>Довідник!E31</f>
        <v>15</v>
      </c>
      <c r="F52" s="417">
        <f>Довідник!F31</f>
        <v>16</v>
      </c>
      <c r="G52" s="417">
        <f>Довідник!G31</f>
        <v>16</v>
      </c>
      <c r="H52" s="417">
        <f>Довідник!H31</f>
        <v>16</v>
      </c>
      <c r="I52" s="417">
        <f>Довідник!I31</f>
        <v>16</v>
      </c>
      <c r="J52" s="417">
        <f>Довідник!J31</f>
        <v>15</v>
      </c>
      <c r="K52" s="417">
        <f>Довідник!K31</f>
        <v>12</v>
      </c>
      <c r="L52" s="417">
        <f>Довідник!L31</f>
        <v>12</v>
      </c>
      <c r="M52" s="417">
        <f>Довідник!M31</f>
        <v>10</v>
      </c>
      <c r="N52" s="404"/>
    </row>
    <row r="53" spans="1:14" x14ac:dyDescent="0.3">
      <c r="A53" s="495" t="str">
        <f>'План вступу в члени'!A21</f>
        <v>Село 1</v>
      </c>
      <c r="B53" s="496"/>
      <c r="C53" s="496"/>
      <c r="D53" s="496"/>
      <c r="E53" s="496"/>
      <c r="F53" s="496"/>
      <c r="G53" s="496"/>
      <c r="H53" s="496"/>
      <c r="I53" s="496"/>
      <c r="J53" s="496"/>
      <c r="K53" s="496"/>
      <c r="L53" s="496"/>
      <c r="M53" s="496"/>
      <c r="N53" s="497"/>
    </row>
    <row r="54" spans="1:14" x14ac:dyDescent="0.3">
      <c r="A54" s="145" t="s">
        <v>219</v>
      </c>
      <c r="B54" s="405">
        <f>'План вступу в члени'!N6+'План вступу в члени'!B21</f>
        <v>15</v>
      </c>
      <c r="C54" s="405">
        <f>B54+'План вступу в члени'!C21</f>
        <v>15</v>
      </c>
      <c r="D54" s="405">
        <f>C54+'План вступу в члени'!D21</f>
        <v>15</v>
      </c>
      <c r="E54" s="405">
        <f>D54+'План вступу в члени'!E21</f>
        <v>22</v>
      </c>
      <c r="F54" s="405">
        <f>E54+'План вступу в члени'!F21</f>
        <v>22</v>
      </c>
      <c r="G54" s="405">
        <f>F54+'План вступу в члени'!G21</f>
        <v>22</v>
      </c>
      <c r="H54" s="405">
        <f>G54+'План вступу в члени'!H21</f>
        <v>22</v>
      </c>
      <c r="I54" s="405">
        <f>H54+'План вступу в члени'!I21</f>
        <v>28</v>
      </c>
      <c r="J54" s="405">
        <f>I54+'План вступу в члени'!J21</f>
        <v>33</v>
      </c>
      <c r="K54" s="405">
        <f>J54+'План вступу в члени'!K21</f>
        <v>33</v>
      </c>
      <c r="L54" s="405">
        <f>K54+'План вступу в члени'!L21</f>
        <v>33</v>
      </c>
      <c r="M54" s="405">
        <f>L54+'План вступу в члени'!M21</f>
        <v>33</v>
      </c>
      <c r="N54" s="406">
        <f>M54</f>
        <v>33</v>
      </c>
    </row>
    <row r="55" spans="1:14" x14ac:dyDescent="0.3">
      <c r="A55" s="407" t="s">
        <v>220</v>
      </c>
      <c r="B55" s="408"/>
      <c r="C55" s="408"/>
      <c r="D55" s="408"/>
      <c r="E55" s="409"/>
      <c r="F55" s="409"/>
      <c r="G55" s="409"/>
      <c r="H55" s="409"/>
      <c r="I55" s="409"/>
      <c r="J55" s="409"/>
      <c r="K55" s="408"/>
      <c r="L55" s="408"/>
      <c r="M55" s="408"/>
      <c r="N55" s="410"/>
    </row>
    <row r="56" spans="1:14" x14ac:dyDescent="0.3">
      <c r="A56" s="150" t="s">
        <v>221</v>
      </c>
      <c r="B56" s="381">
        <f>B54*B52/1000</f>
        <v>0.15</v>
      </c>
      <c r="C56" s="381">
        <f t="shared" ref="C56:M56" si="121">C54*C52/1000</f>
        <v>0.16500000000000001</v>
      </c>
      <c r="D56" s="381">
        <f t="shared" si="121"/>
        <v>0.21</v>
      </c>
      <c r="E56" s="381">
        <f t="shared" si="121"/>
        <v>0.33</v>
      </c>
      <c r="F56" s="381">
        <f t="shared" si="121"/>
        <v>0.35199999999999998</v>
      </c>
      <c r="G56" s="381">
        <f t="shared" si="121"/>
        <v>0.35199999999999998</v>
      </c>
      <c r="H56" s="381">
        <f t="shared" si="121"/>
        <v>0.35199999999999998</v>
      </c>
      <c r="I56" s="381">
        <f t="shared" si="121"/>
        <v>0.44800000000000001</v>
      </c>
      <c r="J56" s="381">
        <f t="shared" si="121"/>
        <v>0.495</v>
      </c>
      <c r="K56" s="381">
        <f t="shared" si="121"/>
        <v>0.39600000000000002</v>
      </c>
      <c r="L56" s="381">
        <f t="shared" si="121"/>
        <v>0.39600000000000002</v>
      </c>
      <c r="M56" s="381">
        <f t="shared" si="121"/>
        <v>0.33</v>
      </c>
      <c r="N56" s="406"/>
    </row>
    <row r="57" spans="1:14" ht="22.8" x14ac:dyDescent="0.3">
      <c r="A57" s="400" t="s">
        <v>222</v>
      </c>
      <c r="B57" s="381">
        <f>B56*0.2</f>
        <v>0.03</v>
      </c>
      <c r="C57" s="381">
        <f t="shared" ref="C57" si="122">C56*0.2</f>
        <v>3.3000000000000002E-2</v>
      </c>
      <c r="D57" s="381">
        <f t="shared" ref="D57" si="123">D56*0.2</f>
        <v>4.2000000000000003E-2</v>
      </c>
      <c r="E57" s="381">
        <f t="shared" ref="E57" si="124">E56*0.2</f>
        <v>6.6000000000000003E-2</v>
      </c>
      <c r="F57" s="381">
        <f t="shared" ref="F57" si="125">F56*0.2</f>
        <v>7.0400000000000004E-2</v>
      </c>
      <c r="G57" s="381">
        <f t="shared" ref="G57" si="126">G56*0.2</f>
        <v>7.0400000000000004E-2</v>
      </c>
      <c r="H57" s="381">
        <f t="shared" ref="H57" si="127">H56*0.2</f>
        <v>7.0400000000000004E-2</v>
      </c>
      <c r="I57" s="381">
        <f t="shared" ref="I57" si="128">I56*0.2</f>
        <v>8.9600000000000013E-2</v>
      </c>
      <c r="J57" s="381">
        <f t="shared" ref="J57" si="129">J56*0.2</f>
        <v>9.9000000000000005E-2</v>
      </c>
      <c r="K57" s="381">
        <f t="shared" ref="K57" si="130">K56*0.2</f>
        <v>7.9200000000000007E-2</v>
      </c>
      <c r="L57" s="381">
        <f t="shared" ref="L57" si="131">L56*0.2</f>
        <v>7.9200000000000007E-2</v>
      </c>
      <c r="M57" s="381">
        <f t="shared" ref="M57" si="132">M56*0.2</f>
        <v>6.6000000000000003E-2</v>
      </c>
      <c r="N57" s="382">
        <f>SUM(B57:M57)</f>
        <v>0.79520000000000013</v>
      </c>
    </row>
    <row r="58" spans="1:14" ht="22.8" x14ac:dyDescent="0.3">
      <c r="A58" s="400" t="s">
        <v>223</v>
      </c>
      <c r="B58" s="381">
        <f>B56-B57</f>
        <v>0.12</v>
      </c>
      <c r="C58" s="381">
        <f t="shared" ref="C58" si="133">C56-C57</f>
        <v>0.13200000000000001</v>
      </c>
      <c r="D58" s="381">
        <f t="shared" ref="D58" si="134">D56-D57</f>
        <v>0.16799999999999998</v>
      </c>
      <c r="E58" s="381">
        <f t="shared" ref="E58" si="135">E56-E57</f>
        <v>0.26400000000000001</v>
      </c>
      <c r="F58" s="381">
        <f t="shared" ref="F58" si="136">F56-F57</f>
        <v>0.28159999999999996</v>
      </c>
      <c r="G58" s="381">
        <f t="shared" ref="G58" si="137">G56-G57</f>
        <v>0.28159999999999996</v>
      </c>
      <c r="H58" s="381">
        <f t="shared" ref="H58" si="138">H56-H57</f>
        <v>0.28159999999999996</v>
      </c>
      <c r="I58" s="381">
        <f t="shared" ref="I58" si="139">I56-I57</f>
        <v>0.3584</v>
      </c>
      <c r="J58" s="381">
        <f t="shared" ref="J58" si="140">J56-J57</f>
        <v>0.39600000000000002</v>
      </c>
      <c r="K58" s="381">
        <f t="shared" ref="K58" si="141">K56-K57</f>
        <v>0.31680000000000003</v>
      </c>
      <c r="L58" s="381">
        <f t="shared" ref="L58" si="142">L56-L57</f>
        <v>0.31680000000000003</v>
      </c>
      <c r="M58" s="381">
        <f t="shared" ref="M58" si="143">M56-M57</f>
        <v>0.26400000000000001</v>
      </c>
      <c r="N58" s="382">
        <f>SUM(B58:M58)</f>
        <v>3.1808000000000005</v>
      </c>
    </row>
    <row r="59" spans="1:14" x14ac:dyDescent="0.3">
      <c r="A59" s="411" t="s">
        <v>224</v>
      </c>
      <c r="B59" s="412"/>
      <c r="C59" s="412"/>
      <c r="D59" s="412"/>
      <c r="E59" s="412"/>
      <c r="F59" s="412"/>
      <c r="G59" s="412"/>
      <c r="H59" s="412"/>
      <c r="I59" s="412"/>
      <c r="J59" s="412"/>
      <c r="K59" s="412"/>
      <c r="L59" s="412"/>
      <c r="M59" s="412"/>
      <c r="N59" s="413"/>
    </row>
    <row r="60" spans="1:14" x14ac:dyDescent="0.3">
      <c r="A60" s="150" t="s">
        <v>225</v>
      </c>
      <c r="B60" s="381">
        <f>B56*B4</f>
        <v>3</v>
      </c>
      <c r="C60" s="381">
        <f t="shared" ref="C60:M60" si="144">C56*C4</f>
        <v>3.3000000000000003</v>
      </c>
      <c r="D60" s="381">
        <f t="shared" si="144"/>
        <v>4.62</v>
      </c>
      <c r="E60" s="381">
        <f t="shared" si="144"/>
        <v>6.9300000000000006</v>
      </c>
      <c r="F60" s="381">
        <f t="shared" si="144"/>
        <v>7.7439999999999998</v>
      </c>
      <c r="G60" s="381">
        <f t="shared" si="144"/>
        <v>7.3919999999999995</v>
      </c>
      <c r="H60" s="381">
        <f t="shared" si="144"/>
        <v>7.7439999999999998</v>
      </c>
      <c r="I60" s="381">
        <f t="shared" si="144"/>
        <v>9.8559999999999999</v>
      </c>
      <c r="J60" s="381">
        <f t="shared" si="144"/>
        <v>10.395</v>
      </c>
      <c r="K60" s="381">
        <f t="shared" si="144"/>
        <v>8.3160000000000007</v>
      </c>
      <c r="L60" s="381">
        <f t="shared" si="144"/>
        <v>7.92</v>
      </c>
      <c r="M60" s="381">
        <f t="shared" si="144"/>
        <v>6.6000000000000005</v>
      </c>
      <c r="N60" s="382"/>
    </row>
    <row r="61" spans="1:14" ht="22.8" x14ac:dyDescent="0.3">
      <c r="A61" s="400" t="s">
        <v>222</v>
      </c>
      <c r="B61" s="381">
        <f>B60*0.2</f>
        <v>0.60000000000000009</v>
      </c>
      <c r="C61" s="381">
        <f t="shared" ref="C61:M61" si="145">C60*0.2</f>
        <v>0.66000000000000014</v>
      </c>
      <c r="D61" s="381">
        <f t="shared" si="145"/>
        <v>0.92400000000000004</v>
      </c>
      <c r="E61" s="381">
        <f t="shared" si="145"/>
        <v>1.3860000000000001</v>
      </c>
      <c r="F61" s="381">
        <f t="shared" si="145"/>
        <v>1.5488</v>
      </c>
      <c r="G61" s="381">
        <f t="shared" si="145"/>
        <v>1.4783999999999999</v>
      </c>
      <c r="H61" s="381">
        <f t="shared" si="145"/>
        <v>1.5488</v>
      </c>
      <c r="I61" s="381">
        <f t="shared" si="145"/>
        <v>1.9712000000000001</v>
      </c>
      <c r="J61" s="381">
        <f t="shared" si="145"/>
        <v>2.0790000000000002</v>
      </c>
      <c r="K61" s="381">
        <f t="shared" si="145"/>
        <v>1.6632000000000002</v>
      </c>
      <c r="L61" s="381">
        <f t="shared" si="145"/>
        <v>1.5840000000000001</v>
      </c>
      <c r="M61" s="381">
        <f t="shared" si="145"/>
        <v>1.3200000000000003</v>
      </c>
      <c r="N61" s="382">
        <f>SUM(B61:M61)</f>
        <v>16.763400000000001</v>
      </c>
    </row>
    <row r="62" spans="1:14" ht="23.4" thickBot="1" x14ac:dyDescent="0.35">
      <c r="A62" s="401" t="s">
        <v>223</v>
      </c>
      <c r="B62" s="414">
        <f>B60-B61</f>
        <v>2.4</v>
      </c>
      <c r="C62" s="414">
        <f t="shared" ref="C62:M62" si="146">C60-C61</f>
        <v>2.64</v>
      </c>
      <c r="D62" s="414">
        <f t="shared" si="146"/>
        <v>3.6960000000000002</v>
      </c>
      <c r="E62" s="414">
        <f t="shared" si="146"/>
        <v>5.5440000000000005</v>
      </c>
      <c r="F62" s="414">
        <f t="shared" si="146"/>
        <v>6.1951999999999998</v>
      </c>
      <c r="G62" s="414">
        <f t="shared" si="146"/>
        <v>5.9135999999999997</v>
      </c>
      <c r="H62" s="414">
        <f t="shared" si="146"/>
        <v>6.1951999999999998</v>
      </c>
      <c r="I62" s="414">
        <f t="shared" si="146"/>
        <v>7.8848000000000003</v>
      </c>
      <c r="J62" s="414">
        <f t="shared" si="146"/>
        <v>8.3159999999999989</v>
      </c>
      <c r="K62" s="414">
        <f t="shared" si="146"/>
        <v>6.6528000000000009</v>
      </c>
      <c r="L62" s="414">
        <f t="shared" si="146"/>
        <v>6.3360000000000003</v>
      </c>
      <c r="M62" s="414">
        <f t="shared" si="146"/>
        <v>5.28</v>
      </c>
      <c r="N62" s="415">
        <f>SUM(B62:M62)</f>
        <v>67.053600000000003</v>
      </c>
    </row>
    <row r="63" spans="1:14" x14ac:dyDescent="0.3">
      <c r="A63" s="495" t="str">
        <f>'План вступу в члени'!A22</f>
        <v>Село 2</v>
      </c>
      <c r="B63" s="496"/>
      <c r="C63" s="496"/>
      <c r="D63" s="496"/>
      <c r="E63" s="496"/>
      <c r="F63" s="496"/>
      <c r="G63" s="496"/>
      <c r="H63" s="496"/>
      <c r="I63" s="496"/>
      <c r="J63" s="496"/>
      <c r="K63" s="496"/>
      <c r="L63" s="496"/>
      <c r="M63" s="496"/>
      <c r="N63" s="497"/>
    </row>
    <row r="64" spans="1:14" x14ac:dyDescent="0.3">
      <c r="A64" s="145" t="s">
        <v>219</v>
      </c>
      <c r="B64" s="405">
        <f>'План вступу в члени'!N7+'План вступу в члени'!B22</f>
        <v>51</v>
      </c>
      <c r="C64" s="405">
        <f>B64+'План вступу в члени'!C22</f>
        <v>58</v>
      </c>
      <c r="D64" s="405">
        <f>C64+'План вступу в члени'!D22</f>
        <v>58</v>
      </c>
      <c r="E64" s="405">
        <f>D64+'План вступу в члени'!E22</f>
        <v>58</v>
      </c>
      <c r="F64" s="405">
        <f>E64+'План вступу в члени'!F22</f>
        <v>58</v>
      </c>
      <c r="G64" s="405">
        <f>F64+'План вступу в члени'!G22</f>
        <v>58</v>
      </c>
      <c r="H64" s="405">
        <f>G64+'План вступу в члени'!H22</f>
        <v>58</v>
      </c>
      <c r="I64" s="405">
        <f>H64+'План вступу в члени'!I22</f>
        <v>58</v>
      </c>
      <c r="J64" s="405">
        <f>I64+'План вступу в члени'!J22</f>
        <v>58</v>
      </c>
      <c r="K64" s="405">
        <f>J64+'План вступу в члени'!K22</f>
        <v>58</v>
      </c>
      <c r="L64" s="405">
        <f>K64+'План вступу в члени'!L22</f>
        <v>58</v>
      </c>
      <c r="M64" s="405">
        <f>L64+'План вступу в члени'!M22</f>
        <v>58</v>
      </c>
      <c r="N64" s="406">
        <f>M64</f>
        <v>58</v>
      </c>
    </row>
    <row r="65" spans="1:14" x14ac:dyDescent="0.3">
      <c r="A65" s="407" t="s">
        <v>220</v>
      </c>
      <c r="B65" s="408"/>
      <c r="C65" s="408"/>
      <c r="D65" s="408"/>
      <c r="E65" s="409"/>
      <c r="F65" s="409"/>
      <c r="G65" s="409"/>
      <c r="H65" s="409"/>
      <c r="I65" s="409"/>
      <c r="J65" s="409"/>
      <c r="K65" s="408"/>
      <c r="L65" s="408"/>
      <c r="M65" s="408"/>
      <c r="N65" s="410"/>
    </row>
    <row r="66" spans="1:14" x14ac:dyDescent="0.3">
      <c r="A66" s="150" t="s">
        <v>221</v>
      </c>
      <c r="B66" s="381">
        <f>B64*B52/1000</f>
        <v>0.51</v>
      </c>
      <c r="C66" s="381">
        <f t="shared" ref="C66:M66" si="147">C64*C52/1000</f>
        <v>0.63800000000000001</v>
      </c>
      <c r="D66" s="381">
        <f t="shared" si="147"/>
        <v>0.81200000000000006</v>
      </c>
      <c r="E66" s="381">
        <f t="shared" si="147"/>
        <v>0.87</v>
      </c>
      <c r="F66" s="381">
        <f t="shared" si="147"/>
        <v>0.92800000000000005</v>
      </c>
      <c r="G66" s="381">
        <f t="shared" si="147"/>
        <v>0.92800000000000005</v>
      </c>
      <c r="H66" s="381">
        <f t="shared" si="147"/>
        <v>0.92800000000000005</v>
      </c>
      <c r="I66" s="381">
        <f t="shared" si="147"/>
        <v>0.92800000000000005</v>
      </c>
      <c r="J66" s="381">
        <f t="shared" si="147"/>
        <v>0.87</v>
      </c>
      <c r="K66" s="381">
        <f t="shared" si="147"/>
        <v>0.69599999999999995</v>
      </c>
      <c r="L66" s="381">
        <f t="shared" si="147"/>
        <v>0.69599999999999995</v>
      </c>
      <c r="M66" s="381">
        <f t="shared" si="147"/>
        <v>0.57999999999999996</v>
      </c>
      <c r="N66" s="406"/>
    </row>
    <row r="67" spans="1:14" ht="22.8" x14ac:dyDescent="0.3">
      <c r="A67" s="400" t="s">
        <v>222</v>
      </c>
      <c r="B67" s="381">
        <f>B66*0.2</f>
        <v>0.10200000000000001</v>
      </c>
      <c r="C67" s="381">
        <f t="shared" ref="C67" si="148">C66*0.2</f>
        <v>0.12760000000000002</v>
      </c>
      <c r="D67" s="381">
        <f t="shared" ref="D67" si="149">D66*0.2</f>
        <v>0.16240000000000002</v>
      </c>
      <c r="E67" s="381">
        <f t="shared" ref="E67" si="150">E66*0.2</f>
        <v>0.17400000000000002</v>
      </c>
      <c r="F67" s="381">
        <f t="shared" ref="F67" si="151">F66*0.2</f>
        <v>0.18560000000000001</v>
      </c>
      <c r="G67" s="381">
        <f t="shared" ref="G67" si="152">G66*0.2</f>
        <v>0.18560000000000001</v>
      </c>
      <c r="H67" s="381">
        <f t="shared" ref="H67" si="153">H66*0.2</f>
        <v>0.18560000000000001</v>
      </c>
      <c r="I67" s="381">
        <f t="shared" ref="I67" si="154">I66*0.2</f>
        <v>0.18560000000000001</v>
      </c>
      <c r="J67" s="381">
        <f t="shared" ref="J67" si="155">J66*0.2</f>
        <v>0.17400000000000002</v>
      </c>
      <c r="K67" s="381">
        <f t="shared" ref="K67" si="156">K66*0.2</f>
        <v>0.13919999999999999</v>
      </c>
      <c r="L67" s="381">
        <f t="shared" ref="L67" si="157">L66*0.2</f>
        <v>0.13919999999999999</v>
      </c>
      <c r="M67" s="381">
        <f t="shared" ref="M67" si="158">M66*0.2</f>
        <v>0.11599999999999999</v>
      </c>
      <c r="N67" s="382">
        <f>SUM(B67:M67)</f>
        <v>1.8767999999999998</v>
      </c>
    </row>
    <row r="68" spans="1:14" ht="22.8" x14ac:dyDescent="0.3">
      <c r="A68" s="400" t="s">
        <v>223</v>
      </c>
      <c r="B68" s="381">
        <f>B66-B67</f>
        <v>0.40800000000000003</v>
      </c>
      <c r="C68" s="381">
        <f t="shared" ref="C68" si="159">C66-C67</f>
        <v>0.51039999999999996</v>
      </c>
      <c r="D68" s="381">
        <f t="shared" ref="D68" si="160">D66-D67</f>
        <v>0.64960000000000007</v>
      </c>
      <c r="E68" s="381">
        <f t="shared" ref="E68" si="161">E66-E67</f>
        <v>0.69599999999999995</v>
      </c>
      <c r="F68" s="381">
        <f t="shared" ref="F68" si="162">F66-F67</f>
        <v>0.74240000000000006</v>
      </c>
      <c r="G68" s="381">
        <f t="shared" ref="G68" si="163">G66-G67</f>
        <v>0.74240000000000006</v>
      </c>
      <c r="H68" s="381">
        <f t="shared" ref="H68" si="164">H66-H67</f>
        <v>0.74240000000000006</v>
      </c>
      <c r="I68" s="381">
        <f t="shared" ref="I68" si="165">I66-I67</f>
        <v>0.74240000000000006</v>
      </c>
      <c r="J68" s="381">
        <f t="shared" ref="J68" si="166">J66-J67</f>
        <v>0.69599999999999995</v>
      </c>
      <c r="K68" s="381">
        <f t="shared" ref="K68" si="167">K66-K67</f>
        <v>0.55679999999999996</v>
      </c>
      <c r="L68" s="381">
        <f t="shared" ref="L68" si="168">L66-L67</f>
        <v>0.55679999999999996</v>
      </c>
      <c r="M68" s="381">
        <f t="shared" ref="M68" si="169">M66-M67</f>
        <v>0.46399999999999997</v>
      </c>
      <c r="N68" s="382">
        <f>SUM(B68:M68)</f>
        <v>7.5071999999999992</v>
      </c>
    </row>
    <row r="69" spans="1:14" x14ac:dyDescent="0.3">
      <c r="A69" s="411" t="s">
        <v>224</v>
      </c>
      <c r="B69" s="412"/>
      <c r="C69" s="412"/>
      <c r="D69" s="412"/>
      <c r="E69" s="412"/>
      <c r="F69" s="412"/>
      <c r="G69" s="412"/>
      <c r="H69" s="412"/>
      <c r="I69" s="412"/>
      <c r="J69" s="412"/>
      <c r="K69" s="412"/>
      <c r="L69" s="412"/>
      <c r="M69" s="412"/>
      <c r="N69" s="413"/>
    </row>
    <row r="70" spans="1:14" x14ac:dyDescent="0.3">
      <c r="A70" s="150" t="s">
        <v>225</v>
      </c>
      <c r="B70" s="381">
        <f>B66*B$4</f>
        <v>10.199999999999999</v>
      </c>
      <c r="C70" s="381">
        <f t="shared" ref="C70:M70" si="170">C66*C$4</f>
        <v>12.76</v>
      </c>
      <c r="D70" s="381">
        <f t="shared" si="170"/>
        <v>17.864000000000001</v>
      </c>
      <c r="E70" s="381">
        <f t="shared" si="170"/>
        <v>18.27</v>
      </c>
      <c r="F70" s="381">
        <f t="shared" si="170"/>
        <v>20.416</v>
      </c>
      <c r="G70" s="381">
        <f t="shared" si="170"/>
        <v>19.488</v>
      </c>
      <c r="H70" s="381">
        <f t="shared" si="170"/>
        <v>20.416</v>
      </c>
      <c r="I70" s="381">
        <f t="shared" si="170"/>
        <v>20.416</v>
      </c>
      <c r="J70" s="381">
        <f t="shared" si="170"/>
        <v>18.27</v>
      </c>
      <c r="K70" s="381">
        <f t="shared" si="170"/>
        <v>14.616</v>
      </c>
      <c r="L70" s="381">
        <f t="shared" si="170"/>
        <v>13.919999999999998</v>
      </c>
      <c r="M70" s="381">
        <f t="shared" si="170"/>
        <v>11.6</v>
      </c>
      <c r="N70" s="382"/>
    </row>
    <row r="71" spans="1:14" ht="22.8" x14ac:dyDescent="0.3">
      <c r="A71" s="400" t="s">
        <v>222</v>
      </c>
      <c r="B71" s="381">
        <f>B70*0.2</f>
        <v>2.04</v>
      </c>
      <c r="C71" s="381">
        <f t="shared" ref="C71" si="171">C70*0.2</f>
        <v>2.552</v>
      </c>
      <c r="D71" s="381">
        <f t="shared" ref="D71" si="172">D70*0.2</f>
        <v>3.5728000000000004</v>
      </c>
      <c r="E71" s="381">
        <f t="shared" ref="E71" si="173">E70*0.2</f>
        <v>3.6539999999999999</v>
      </c>
      <c r="F71" s="381">
        <f t="shared" ref="F71" si="174">F70*0.2</f>
        <v>4.0832000000000006</v>
      </c>
      <c r="G71" s="381">
        <f t="shared" ref="G71" si="175">G70*0.2</f>
        <v>3.8976000000000002</v>
      </c>
      <c r="H71" s="381">
        <f t="shared" ref="H71" si="176">H70*0.2</f>
        <v>4.0832000000000006</v>
      </c>
      <c r="I71" s="381">
        <f t="shared" ref="I71" si="177">I70*0.2</f>
        <v>4.0832000000000006</v>
      </c>
      <c r="J71" s="381">
        <f t="shared" ref="J71" si="178">J70*0.2</f>
        <v>3.6539999999999999</v>
      </c>
      <c r="K71" s="381">
        <f t="shared" ref="K71" si="179">K70*0.2</f>
        <v>2.9232</v>
      </c>
      <c r="L71" s="381">
        <f t="shared" ref="L71" si="180">L70*0.2</f>
        <v>2.7839999999999998</v>
      </c>
      <c r="M71" s="381">
        <f t="shared" ref="M71" si="181">M70*0.2</f>
        <v>2.3199999999999998</v>
      </c>
      <c r="N71" s="382">
        <f>SUM(B71:M71)</f>
        <v>39.647200000000005</v>
      </c>
    </row>
    <row r="72" spans="1:14" ht="23.4" thickBot="1" x14ac:dyDescent="0.35">
      <c r="A72" s="401" t="s">
        <v>223</v>
      </c>
      <c r="B72" s="414">
        <f>B70-B71</f>
        <v>8.16</v>
      </c>
      <c r="C72" s="414">
        <f t="shared" ref="C72" si="182">C70-C71</f>
        <v>10.208</v>
      </c>
      <c r="D72" s="414">
        <f t="shared" ref="D72" si="183">D70-D71</f>
        <v>14.2912</v>
      </c>
      <c r="E72" s="414">
        <f t="shared" ref="E72" si="184">E70-E71</f>
        <v>14.616</v>
      </c>
      <c r="F72" s="414">
        <f t="shared" ref="F72" si="185">F70-F71</f>
        <v>16.332799999999999</v>
      </c>
      <c r="G72" s="414">
        <f t="shared" ref="G72" si="186">G70-G71</f>
        <v>15.590399999999999</v>
      </c>
      <c r="H72" s="414">
        <f t="shared" ref="H72" si="187">H70-H71</f>
        <v>16.332799999999999</v>
      </c>
      <c r="I72" s="414">
        <f t="shared" ref="I72" si="188">I70-I71</f>
        <v>16.332799999999999</v>
      </c>
      <c r="J72" s="414">
        <f t="shared" ref="J72" si="189">J70-J71</f>
        <v>14.616</v>
      </c>
      <c r="K72" s="414">
        <f t="shared" ref="K72" si="190">K70-K71</f>
        <v>11.6928</v>
      </c>
      <c r="L72" s="414">
        <f t="shared" ref="L72" si="191">L70-L71</f>
        <v>11.135999999999999</v>
      </c>
      <c r="M72" s="414">
        <f t="shared" ref="M72" si="192">M70-M71</f>
        <v>9.2799999999999994</v>
      </c>
      <c r="N72" s="415">
        <f>SUM(B72:M72)</f>
        <v>158.58879999999996</v>
      </c>
    </row>
    <row r="73" spans="1:14" x14ac:dyDescent="0.3">
      <c r="A73" s="495" t="str">
        <f>'План вступу в члени'!A23</f>
        <v>Село 3</v>
      </c>
      <c r="B73" s="496"/>
      <c r="C73" s="496"/>
      <c r="D73" s="496"/>
      <c r="E73" s="496"/>
      <c r="F73" s="496"/>
      <c r="G73" s="496"/>
      <c r="H73" s="496"/>
      <c r="I73" s="496"/>
      <c r="J73" s="496"/>
      <c r="K73" s="496"/>
      <c r="L73" s="496"/>
      <c r="M73" s="496"/>
      <c r="N73" s="497"/>
    </row>
    <row r="74" spans="1:14" x14ac:dyDescent="0.3">
      <c r="A74" s="145" t="s">
        <v>219</v>
      </c>
      <c r="B74" s="405">
        <f>'План вступу в члени'!N8+'План вступу в члени'!B23</f>
        <v>15</v>
      </c>
      <c r="C74" s="405">
        <f>B74+'План вступу в члени'!C23</f>
        <v>15</v>
      </c>
      <c r="D74" s="405">
        <f>C74+'План вступу в члени'!D23</f>
        <v>15</v>
      </c>
      <c r="E74" s="405">
        <f>D74+'План вступу в члени'!E23</f>
        <v>15</v>
      </c>
      <c r="F74" s="405">
        <f>E74+'План вступу в члени'!F23</f>
        <v>15</v>
      </c>
      <c r="G74" s="405">
        <f>F74+'План вступу в члени'!G23</f>
        <v>15</v>
      </c>
      <c r="H74" s="405">
        <f>G74+'План вступу в члени'!H23</f>
        <v>15</v>
      </c>
      <c r="I74" s="405">
        <f>H74+'План вступу в члени'!I23</f>
        <v>15</v>
      </c>
      <c r="J74" s="405">
        <f>I74+'План вступу в члени'!J23</f>
        <v>15</v>
      </c>
      <c r="K74" s="405">
        <f>J74+'План вступу в члени'!K23</f>
        <v>20</v>
      </c>
      <c r="L74" s="405">
        <f>K74+'План вступу в члени'!L23</f>
        <v>28</v>
      </c>
      <c r="M74" s="405">
        <f>L74+'План вступу в члени'!M23</f>
        <v>28</v>
      </c>
      <c r="N74" s="406">
        <f>M74</f>
        <v>28</v>
      </c>
    </row>
    <row r="75" spans="1:14" x14ac:dyDescent="0.3">
      <c r="A75" s="407" t="s">
        <v>220</v>
      </c>
      <c r="B75" s="408"/>
      <c r="C75" s="408"/>
      <c r="D75" s="408"/>
      <c r="E75" s="409"/>
      <c r="F75" s="409"/>
      <c r="G75" s="409"/>
      <c r="H75" s="409"/>
      <c r="I75" s="409"/>
      <c r="J75" s="409"/>
      <c r="K75" s="408"/>
      <c r="L75" s="408"/>
      <c r="M75" s="408"/>
      <c r="N75" s="410"/>
    </row>
    <row r="76" spans="1:14" x14ac:dyDescent="0.3">
      <c r="A76" s="150" t="s">
        <v>221</v>
      </c>
      <c r="B76" s="381">
        <f>B74*B52/1000</f>
        <v>0.15</v>
      </c>
      <c r="C76" s="381">
        <f t="shared" ref="C76:M76" si="193">C74*C52/1000</f>
        <v>0.16500000000000001</v>
      </c>
      <c r="D76" s="381">
        <f t="shared" si="193"/>
        <v>0.21</v>
      </c>
      <c r="E76" s="381">
        <f t="shared" si="193"/>
        <v>0.22500000000000001</v>
      </c>
      <c r="F76" s="381">
        <f t="shared" si="193"/>
        <v>0.24</v>
      </c>
      <c r="G76" s="381">
        <f t="shared" si="193"/>
        <v>0.24</v>
      </c>
      <c r="H76" s="381">
        <f t="shared" si="193"/>
        <v>0.24</v>
      </c>
      <c r="I76" s="381">
        <f t="shared" si="193"/>
        <v>0.24</v>
      </c>
      <c r="J76" s="381">
        <f t="shared" si="193"/>
        <v>0.22500000000000001</v>
      </c>
      <c r="K76" s="381">
        <f t="shared" si="193"/>
        <v>0.24</v>
      </c>
      <c r="L76" s="381">
        <f t="shared" si="193"/>
        <v>0.33600000000000002</v>
      </c>
      <c r="M76" s="381">
        <f t="shared" si="193"/>
        <v>0.28000000000000003</v>
      </c>
      <c r="N76" s="406"/>
    </row>
    <row r="77" spans="1:14" ht="22.8" x14ac:dyDescent="0.3">
      <c r="A77" s="400" t="s">
        <v>222</v>
      </c>
      <c r="B77" s="381">
        <f>B76*0.2</f>
        <v>0.03</v>
      </c>
      <c r="C77" s="381">
        <f t="shared" ref="C77" si="194">C76*0.2</f>
        <v>3.3000000000000002E-2</v>
      </c>
      <c r="D77" s="381">
        <f t="shared" ref="D77" si="195">D76*0.2</f>
        <v>4.2000000000000003E-2</v>
      </c>
      <c r="E77" s="381">
        <f t="shared" ref="E77" si="196">E76*0.2</f>
        <v>4.5000000000000005E-2</v>
      </c>
      <c r="F77" s="381">
        <f t="shared" ref="F77" si="197">F76*0.2</f>
        <v>4.8000000000000001E-2</v>
      </c>
      <c r="G77" s="381">
        <f t="shared" ref="G77" si="198">G76*0.2</f>
        <v>4.8000000000000001E-2</v>
      </c>
      <c r="H77" s="381">
        <f t="shared" ref="H77" si="199">H76*0.2</f>
        <v>4.8000000000000001E-2</v>
      </c>
      <c r="I77" s="381">
        <f t="shared" ref="I77" si="200">I76*0.2</f>
        <v>4.8000000000000001E-2</v>
      </c>
      <c r="J77" s="381">
        <f t="shared" ref="J77" si="201">J76*0.2</f>
        <v>4.5000000000000005E-2</v>
      </c>
      <c r="K77" s="381">
        <f t="shared" ref="K77" si="202">K76*0.2</f>
        <v>4.8000000000000001E-2</v>
      </c>
      <c r="L77" s="381">
        <f t="shared" ref="L77" si="203">L76*0.2</f>
        <v>6.720000000000001E-2</v>
      </c>
      <c r="M77" s="381">
        <f t="shared" ref="M77" si="204">M76*0.2</f>
        <v>5.6000000000000008E-2</v>
      </c>
      <c r="N77" s="382">
        <f>SUM(B77:M77)</f>
        <v>0.55820000000000003</v>
      </c>
    </row>
    <row r="78" spans="1:14" ht="22.8" x14ac:dyDescent="0.3">
      <c r="A78" s="400" t="s">
        <v>226</v>
      </c>
      <c r="B78" s="381">
        <f>B76-B77</f>
        <v>0.12</v>
      </c>
      <c r="C78" s="381">
        <f t="shared" ref="C78" si="205">C76-C77</f>
        <v>0.13200000000000001</v>
      </c>
      <c r="D78" s="381">
        <f t="shared" ref="D78" si="206">D76-D77</f>
        <v>0.16799999999999998</v>
      </c>
      <c r="E78" s="381">
        <f t="shared" ref="E78" si="207">E76-E77</f>
        <v>0.18</v>
      </c>
      <c r="F78" s="381">
        <f t="shared" ref="F78" si="208">F76-F77</f>
        <v>0.192</v>
      </c>
      <c r="G78" s="381">
        <f t="shared" ref="G78" si="209">G76-G77</f>
        <v>0.192</v>
      </c>
      <c r="H78" s="381">
        <f t="shared" ref="H78" si="210">H76-H77</f>
        <v>0.192</v>
      </c>
      <c r="I78" s="381">
        <f t="shared" ref="I78" si="211">I76-I77</f>
        <v>0.192</v>
      </c>
      <c r="J78" s="381">
        <f t="shared" ref="J78" si="212">J76-J77</f>
        <v>0.18</v>
      </c>
      <c r="K78" s="381">
        <f t="shared" ref="K78" si="213">K76-K77</f>
        <v>0.192</v>
      </c>
      <c r="L78" s="381">
        <f t="shared" ref="L78" si="214">L76-L77</f>
        <v>0.26880000000000004</v>
      </c>
      <c r="M78" s="381">
        <f t="shared" ref="M78" si="215">M76-M77</f>
        <v>0.22400000000000003</v>
      </c>
      <c r="N78" s="382">
        <f>SUM(B78:M78)</f>
        <v>2.2328000000000001</v>
      </c>
    </row>
    <row r="79" spans="1:14" x14ac:dyDescent="0.3">
      <c r="A79" s="411" t="s">
        <v>224</v>
      </c>
      <c r="B79" s="412"/>
      <c r="C79" s="412"/>
      <c r="D79" s="412"/>
      <c r="E79" s="412"/>
      <c r="F79" s="412"/>
      <c r="G79" s="412"/>
      <c r="H79" s="412"/>
      <c r="I79" s="412"/>
      <c r="J79" s="412"/>
      <c r="K79" s="412"/>
      <c r="L79" s="412"/>
      <c r="M79" s="412"/>
      <c r="N79" s="413"/>
    </row>
    <row r="80" spans="1:14" x14ac:dyDescent="0.3">
      <c r="A80" s="150" t="s">
        <v>225</v>
      </c>
      <c r="B80" s="381">
        <f>B76*B$4</f>
        <v>3</v>
      </c>
      <c r="C80" s="381">
        <f t="shared" ref="C80:M80" si="216">C76*C$4</f>
        <v>3.3000000000000003</v>
      </c>
      <c r="D80" s="381">
        <f t="shared" si="216"/>
        <v>4.62</v>
      </c>
      <c r="E80" s="381">
        <f t="shared" si="216"/>
        <v>4.7250000000000005</v>
      </c>
      <c r="F80" s="381">
        <f t="shared" si="216"/>
        <v>5.2799999999999994</v>
      </c>
      <c r="G80" s="381">
        <f t="shared" si="216"/>
        <v>5.04</v>
      </c>
      <c r="H80" s="381">
        <f t="shared" si="216"/>
        <v>5.2799999999999994</v>
      </c>
      <c r="I80" s="381">
        <f t="shared" si="216"/>
        <v>5.2799999999999994</v>
      </c>
      <c r="J80" s="381">
        <f t="shared" si="216"/>
        <v>4.7250000000000005</v>
      </c>
      <c r="K80" s="381">
        <f t="shared" si="216"/>
        <v>5.04</v>
      </c>
      <c r="L80" s="381">
        <f t="shared" si="216"/>
        <v>6.7200000000000006</v>
      </c>
      <c r="M80" s="381">
        <f t="shared" si="216"/>
        <v>5.6000000000000005</v>
      </c>
      <c r="N80" s="382"/>
    </row>
    <row r="81" spans="1:15" ht="22.8" x14ac:dyDescent="0.3">
      <c r="A81" s="400" t="s">
        <v>222</v>
      </c>
      <c r="B81" s="381">
        <f>B80*0.2</f>
        <v>0.60000000000000009</v>
      </c>
      <c r="C81" s="381">
        <f t="shared" ref="C81" si="217">C80*0.2</f>
        <v>0.66000000000000014</v>
      </c>
      <c r="D81" s="381">
        <f t="shared" ref="D81" si="218">D80*0.2</f>
        <v>0.92400000000000004</v>
      </c>
      <c r="E81" s="381">
        <f t="shared" ref="E81" si="219">E80*0.2</f>
        <v>0.94500000000000017</v>
      </c>
      <c r="F81" s="381">
        <f t="shared" ref="F81" si="220">F80*0.2</f>
        <v>1.0559999999999998</v>
      </c>
      <c r="G81" s="381">
        <f t="shared" ref="G81" si="221">G80*0.2</f>
        <v>1.008</v>
      </c>
      <c r="H81" s="381">
        <f t="shared" ref="H81" si="222">H80*0.2</f>
        <v>1.0559999999999998</v>
      </c>
      <c r="I81" s="381">
        <f t="shared" ref="I81" si="223">I80*0.2</f>
        <v>1.0559999999999998</v>
      </c>
      <c r="J81" s="381">
        <f t="shared" ref="J81" si="224">J80*0.2</f>
        <v>0.94500000000000017</v>
      </c>
      <c r="K81" s="381">
        <f t="shared" ref="K81" si="225">K80*0.2</f>
        <v>1.008</v>
      </c>
      <c r="L81" s="381">
        <f t="shared" ref="L81" si="226">L80*0.2</f>
        <v>1.3440000000000003</v>
      </c>
      <c r="M81" s="381">
        <f t="shared" ref="M81" si="227">M80*0.2</f>
        <v>1.1200000000000001</v>
      </c>
      <c r="N81" s="382">
        <f>SUM(B81:M81)</f>
        <v>11.722000000000001</v>
      </c>
    </row>
    <row r="82" spans="1:15" ht="23.4" thickBot="1" x14ac:dyDescent="0.35">
      <c r="A82" s="401" t="s">
        <v>223</v>
      </c>
      <c r="B82" s="414">
        <f>B80-B81</f>
        <v>2.4</v>
      </c>
      <c r="C82" s="414">
        <f t="shared" ref="C82" si="228">C80-C81</f>
        <v>2.64</v>
      </c>
      <c r="D82" s="414">
        <f t="shared" ref="D82" si="229">D80-D81</f>
        <v>3.6960000000000002</v>
      </c>
      <c r="E82" s="414">
        <f t="shared" ref="E82" si="230">E80-E81</f>
        <v>3.7800000000000002</v>
      </c>
      <c r="F82" s="414">
        <f t="shared" ref="F82" si="231">F80-F81</f>
        <v>4.2239999999999993</v>
      </c>
      <c r="G82" s="414">
        <f t="shared" ref="G82" si="232">G80-G81</f>
        <v>4.032</v>
      </c>
      <c r="H82" s="414">
        <f t="shared" ref="H82" si="233">H80-H81</f>
        <v>4.2239999999999993</v>
      </c>
      <c r="I82" s="414">
        <f t="shared" ref="I82" si="234">I80-I81</f>
        <v>4.2239999999999993</v>
      </c>
      <c r="J82" s="414">
        <f t="shared" ref="J82" si="235">J80-J81</f>
        <v>3.7800000000000002</v>
      </c>
      <c r="K82" s="414">
        <f t="shared" ref="K82" si="236">K80-K81</f>
        <v>4.032</v>
      </c>
      <c r="L82" s="414">
        <f t="shared" ref="L82" si="237">L80-L81</f>
        <v>5.3760000000000003</v>
      </c>
      <c r="M82" s="414">
        <f t="shared" ref="M82" si="238">M80-M81</f>
        <v>4.4800000000000004</v>
      </c>
      <c r="N82" s="415">
        <f>SUM(B82:M82)</f>
        <v>46.887999999999991</v>
      </c>
    </row>
    <row r="83" spans="1:15" x14ac:dyDescent="0.3">
      <c r="A83" s="495" t="str">
        <f>'План вступу в члени'!A24</f>
        <v>Село 4</v>
      </c>
      <c r="B83" s="496"/>
      <c r="C83" s="496"/>
      <c r="D83" s="496"/>
      <c r="E83" s="496"/>
      <c r="F83" s="496"/>
      <c r="G83" s="496"/>
      <c r="H83" s="496"/>
      <c r="I83" s="496"/>
      <c r="J83" s="496"/>
      <c r="K83" s="496"/>
      <c r="L83" s="496"/>
      <c r="M83" s="496"/>
      <c r="N83" s="497"/>
    </row>
    <row r="84" spans="1:15" x14ac:dyDescent="0.3">
      <c r="A84" s="145" t="s">
        <v>219</v>
      </c>
      <c r="B84" s="405">
        <f>'План вступу в члени'!N9+'План вступу в члени'!B24</f>
        <v>20</v>
      </c>
      <c r="C84" s="405">
        <f>B84+'План вступу в члени'!C24</f>
        <v>20</v>
      </c>
      <c r="D84" s="405">
        <f>C84+'План вступу в члени'!D24</f>
        <v>25</v>
      </c>
      <c r="E84" s="405">
        <f>D84+'План вступу в члени'!E24</f>
        <v>25</v>
      </c>
      <c r="F84" s="405">
        <f>E84+'План вступу в члени'!F24</f>
        <v>25</v>
      </c>
      <c r="G84" s="405">
        <f>F84+'План вступу в члени'!G24</f>
        <v>30</v>
      </c>
      <c r="H84" s="405">
        <f>G84+'План вступу в члени'!H24</f>
        <v>30</v>
      </c>
      <c r="I84" s="405">
        <f>H84+'План вступу в члени'!I24</f>
        <v>30</v>
      </c>
      <c r="J84" s="405">
        <f>I84+'План вступу в члени'!J24</f>
        <v>30</v>
      </c>
      <c r="K84" s="405">
        <f>J84+'План вступу в члени'!K24</f>
        <v>30</v>
      </c>
      <c r="L84" s="405">
        <f>K84+'План вступу в члени'!L24</f>
        <v>30</v>
      </c>
      <c r="M84" s="405">
        <f>L84+'План вступу в члени'!M24</f>
        <v>32</v>
      </c>
      <c r="N84" s="406">
        <f>M84</f>
        <v>32</v>
      </c>
    </row>
    <row r="85" spans="1:15" x14ac:dyDescent="0.3">
      <c r="A85" s="407" t="s">
        <v>220</v>
      </c>
      <c r="B85" s="408"/>
      <c r="C85" s="408"/>
      <c r="D85" s="408"/>
      <c r="E85" s="409"/>
      <c r="F85" s="409"/>
      <c r="G85" s="409"/>
      <c r="H85" s="409"/>
      <c r="I85" s="409"/>
      <c r="J85" s="409"/>
      <c r="K85" s="408"/>
      <c r="L85" s="408"/>
      <c r="M85" s="408"/>
      <c r="N85" s="410"/>
    </row>
    <row r="86" spans="1:15" x14ac:dyDescent="0.3">
      <c r="A86" s="150" t="s">
        <v>221</v>
      </c>
      <c r="B86" s="381">
        <f>B84*B52/1000</f>
        <v>0.2</v>
      </c>
      <c r="C86" s="381">
        <f t="shared" ref="C86:M86" si="239">C84*C52/1000</f>
        <v>0.22</v>
      </c>
      <c r="D86" s="381">
        <f t="shared" si="239"/>
        <v>0.35</v>
      </c>
      <c r="E86" s="381">
        <f t="shared" si="239"/>
        <v>0.375</v>
      </c>
      <c r="F86" s="381">
        <f t="shared" si="239"/>
        <v>0.4</v>
      </c>
      <c r="G86" s="381">
        <f t="shared" si="239"/>
        <v>0.48</v>
      </c>
      <c r="H86" s="381">
        <f t="shared" si="239"/>
        <v>0.48</v>
      </c>
      <c r="I86" s="381">
        <f t="shared" si="239"/>
        <v>0.48</v>
      </c>
      <c r="J86" s="381">
        <f t="shared" si="239"/>
        <v>0.45</v>
      </c>
      <c r="K86" s="381">
        <f t="shared" si="239"/>
        <v>0.36</v>
      </c>
      <c r="L86" s="381">
        <f t="shared" si="239"/>
        <v>0.36</v>
      </c>
      <c r="M86" s="381">
        <f t="shared" si="239"/>
        <v>0.32</v>
      </c>
      <c r="N86" s="406"/>
    </row>
    <row r="87" spans="1:15" ht="22.8" x14ac:dyDescent="0.3">
      <c r="A87" s="400" t="s">
        <v>222</v>
      </c>
      <c r="B87" s="381">
        <f>B86*0.2</f>
        <v>4.0000000000000008E-2</v>
      </c>
      <c r="C87" s="381">
        <f t="shared" ref="C87" si="240">C86*0.2</f>
        <v>4.4000000000000004E-2</v>
      </c>
      <c r="D87" s="381">
        <f t="shared" ref="D87" si="241">D86*0.2</f>
        <v>6.9999999999999993E-2</v>
      </c>
      <c r="E87" s="381">
        <f t="shared" ref="E87" si="242">E86*0.2</f>
        <v>7.5000000000000011E-2</v>
      </c>
      <c r="F87" s="381">
        <f t="shared" ref="F87" si="243">F86*0.2</f>
        <v>8.0000000000000016E-2</v>
      </c>
      <c r="G87" s="381">
        <f t="shared" ref="G87" si="244">G86*0.2</f>
        <v>9.6000000000000002E-2</v>
      </c>
      <c r="H87" s="381">
        <f t="shared" ref="H87" si="245">H86*0.2</f>
        <v>9.6000000000000002E-2</v>
      </c>
      <c r="I87" s="381">
        <f t="shared" ref="I87" si="246">I86*0.2</f>
        <v>9.6000000000000002E-2</v>
      </c>
      <c r="J87" s="381">
        <f t="shared" ref="J87" si="247">J86*0.2</f>
        <v>9.0000000000000011E-2</v>
      </c>
      <c r="K87" s="381">
        <f t="shared" ref="K87" si="248">K86*0.2</f>
        <v>7.1999999999999995E-2</v>
      </c>
      <c r="L87" s="381">
        <f t="shared" ref="L87" si="249">L86*0.2</f>
        <v>7.1999999999999995E-2</v>
      </c>
      <c r="M87" s="381">
        <f t="shared" ref="M87" si="250">M86*0.2</f>
        <v>6.4000000000000001E-2</v>
      </c>
      <c r="N87" s="382">
        <f>SUM(B87:M87)</f>
        <v>0.8949999999999998</v>
      </c>
    </row>
    <row r="88" spans="1:15" ht="22.8" x14ac:dyDescent="0.3">
      <c r="A88" s="400" t="s">
        <v>223</v>
      </c>
      <c r="B88" s="381">
        <f>B86-B87</f>
        <v>0.16</v>
      </c>
      <c r="C88" s="381">
        <f t="shared" ref="C88" si="251">C86-C87</f>
        <v>0.17599999999999999</v>
      </c>
      <c r="D88" s="381">
        <f t="shared" ref="D88" si="252">D86-D87</f>
        <v>0.27999999999999997</v>
      </c>
      <c r="E88" s="381">
        <f t="shared" ref="E88" si="253">E86-E87</f>
        <v>0.3</v>
      </c>
      <c r="F88" s="381">
        <f t="shared" ref="F88" si="254">F86-F87</f>
        <v>0.32</v>
      </c>
      <c r="G88" s="381">
        <f t="shared" ref="G88" si="255">G86-G87</f>
        <v>0.38400000000000001</v>
      </c>
      <c r="H88" s="381">
        <f t="shared" ref="H88" si="256">H86-H87</f>
        <v>0.38400000000000001</v>
      </c>
      <c r="I88" s="381">
        <f t="shared" ref="I88" si="257">I86-I87</f>
        <v>0.38400000000000001</v>
      </c>
      <c r="J88" s="381">
        <f t="shared" ref="J88" si="258">J86-J87</f>
        <v>0.36</v>
      </c>
      <c r="K88" s="381">
        <f t="shared" ref="K88" si="259">K86-K87</f>
        <v>0.28799999999999998</v>
      </c>
      <c r="L88" s="381">
        <f t="shared" ref="L88" si="260">L86-L87</f>
        <v>0.28799999999999998</v>
      </c>
      <c r="M88" s="381">
        <f t="shared" ref="M88" si="261">M86-M87</f>
        <v>0.25600000000000001</v>
      </c>
      <c r="N88" s="382">
        <f>SUM(B88:M88)</f>
        <v>3.5799999999999992</v>
      </c>
    </row>
    <row r="89" spans="1:15" x14ac:dyDescent="0.3">
      <c r="A89" s="411" t="s">
        <v>224</v>
      </c>
      <c r="B89" s="412"/>
      <c r="C89" s="412"/>
      <c r="D89" s="412"/>
      <c r="E89" s="412"/>
      <c r="F89" s="412"/>
      <c r="G89" s="412"/>
      <c r="H89" s="412"/>
      <c r="I89" s="412"/>
      <c r="J89" s="412"/>
      <c r="K89" s="412"/>
      <c r="L89" s="412"/>
      <c r="M89" s="412"/>
      <c r="N89" s="413"/>
    </row>
    <row r="90" spans="1:15" x14ac:dyDescent="0.3">
      <c r="A90" s="150" t="s">
        <v>225</v>
      </c>
      <c r="B90" s="381">
        <f>B86*B$4</f>
        <v>4</v>
      </c>
      <c r="C90" s="381">
        <f t="shared" ref="C90:M90" si="262">C86*C$4</f>
        <v>4.4000000000000004</v>
      </c>
      <c r="D90" s="381">
        <f t="shared" si="262"/>
        <v>7.6999999999999993</v>
      </c>
      <c r="E90" s="381">
        <f t="shared" si="262"/>
        <v>7.875</v>
      </c>
      <c r="F90" s="381">
        <f t="shared" si="262"/>
        <v>8.8000000000000007</v>
      </c>
      <c r="G90" s="381">
        <f t="shared" si="262"/>
        <v>10.08</v>
      </c>
      <c r="H90" s="381">
        <f t="shared" si="262"/>
        <v>10.559999999999999</v>
      </c>
      <c r="I90" s="381">
        <f t="shared" si="262"/>
        <v>10.559999999999999</v>
      </c>
      <c r="J90" s="381">
        <f t="shared" si="262"/>
        <v>9.4500000000000011</v>
      </c>
      <c r="K90" s="381">
        <f t="shared" si="262"/>
        <v>7.56</v>
      </c>
      <c r="L90" s="381">
        <f t="shared" si="262"/>
        <v>7.1999999999999993</v>
      </c>
      <c r="M90" s="381">
        <f t="shared" si="262"/>
        <v>6.4</v>
      </c>
      <c r="N90" s="382"/>
    </row>
    <row r="91" spans="1:15" ht="22.8" x14ac:dyDescent="0.3">
      <c r="A91" s="400" t="s">
        <v>222</v>
      </c>
      <c r="B91" s="381">
        <f>B90*0.2</f>
        <v>0.8</v>
      </c>
      <c r="C91" s="381">
        <f t="shared" ref="C91" si="263">C90*0.2</f>
        <v>0.88000000000000012</v>
      </c>
      <c r="D91" s="381">
        <f t="shared" ref="D91" si="264">D90*0.2</f>
        <v>1.54</v>
      </c>
      <c r="E91" s="381">
        <f t="shared" ref="E91" si="265">E90*0.2</f>
        <v>1.5750000000000002</v>
      </c>
      <c r="F91" s="381">
        <f t="shared" ref="F91" si="266">F90*0.2</f>
        <v>1.7600000000000002</v>
      </c>
      <c r="G91" s="381">
        <f t="shared" ref="G91" si="267">G90*0.2</f>
        <v>2.016</v>
      </c>
      <c r="H91" s="381">
        <f t="shared" ref="H91" si="268">H90*0.2</f>
        <v>2.1119999999999997</v>
      </c>
      <c r="I91" s="381">
        <f t="shared" ref="I91" si="269">I90*0.2</f>
        <v>2.1119999999999997</v>
      </c>
      <c r="J91" s="381">
        <f t="shared" ref="J91" si="270">J90*0.2</f>
        <v>1.8900000000000003</v>
      </c>
      <c r="K91" s="381">
        <f t="shared" ref="K91" si="271">K90*0.2</f>
        <v>1.512</v>
      </c>
      <c r="L91" s="381">
        <f t="shared" ref="L91" si="272">L90*0.2</f>
        <v>1.44</v>
      </c>
      <c r="M91" s="381">
        <f t="shared" ref="M91" si="273">M90*0.2</f>
        <v>1.2800000000000002</v>
      </c>
      <c r="N91" s="382">
        <f>SUM(B91:M91)</f>
        <v>18.917000000000002</v>
      </c>
    </row>
    <row r="92" spans="1:15" ht="23.4" thickBot="1" x14ac:dyDescent="0.35">
      <c r="A92" s="401" t="s">
        <v>223</v>
      </c>
      <c r="B92" s="414">
        <f>B90-B91</f>
        <v>3.2</v>
      </c>
      <c r="C92" s="414">
        <f t="shared" ref="C92" si="274">C90-C91</f>
        <v>3.5200000000000005</v>
      </c>
      <c r="D92" s="414">
        <f t="shared" ref="D92" si="275">D90-D91</f>
        <v>6.1599999999999993</v>
      </c>
      <c r="E92" s="414">
        <f t="shared" ref="E92" si="276">E90-E91</f>
        <v>6.3</v>
      </c>
      <c r="F92" s="414">
        <f t="shared" ref="F92" si="277">F90-F91</f>
        <v>7.0400000000000009</v>
      </c>
      <c r="G92" s="414">
        <f t="shared" ref="G92" si="278">G90-G91</f>
        <v>8.0640000000000001</v>
      </c>
      <c r="H92" s="414">
        <f t="shared" ref="H92" si="279">H90-H91</f>
        <v>8.4479999999999986</v>
      </c>
      <c r="I92" s="414">
        <f t="shared" ref="I92" si="280">I90-I91</f>
        <v>8.4479999999999986</v>
      </c>
      <c r="J92" s="414">
        <f t="shared" ref="J92" si="281">J90-J91</f>
        <v>7.5600000000000005</v>
      </c>
      <c r="K92" s="414">
        <f t="shared" ref="K92" si="282">K90-K91</f>
        <v>6.048</v>
      </c>
      <c r="L92" s="414">
        <f t="shared" ref="L92" si="283">L90-L91</f>
        <v>5.76</v>
      </c>
      <c r="M92" s="414">
        <f t="shared" ref="M92" si="284">M90-M91</f>
        <v>5.12</v>
      </c>
      <c r="N92" s="415">
        <f>SUM(B92:M92)</f>
        <v>75.668000000000006</v>
      </c>
      <c r="O92" s="416"/>
    </row>
    <row r="93" spans="1:15" x14ac:dyDescent="0.3">
      <c r="B93" s="418"/>
      <c r="C93" s="418"/>
      <c r="D93" s="418"/>
      <c r="E93" s="418"/>
      <c r="F93" s="418"/>
      <c r="G93" s="418"/>
      <c r="H93" s="418"/>
      <c r="I93" s="418"/>
      <c r="J93" s="418"/>
      <c r="K93" s="418"/>
      <c r="L93" s="418"/>
      <c r="M93" s="418"/>
      <c r="N93" s="418"/>
    </row>
    <row r="95" spans="1:15" ht="15" customHeight="1" thickBot="1" x14ac:dyDescent="0.35">
      <c r="A95" s="486" t="s">
        <v>215</v>
      </c>
      <c r="B95" s="486"/>
      <c r="C95" s="486"/>
      <c r="D95" s="486"/>
      <c r="E95" s="486"/>
      <c r="F95" s="486"/>
      <c r="G95" s="486"/>
      <c r="H95" s="486"/>
      <c r="I95" s="486"/>
      <c r="J95" s="486"/>
      <c r="K95" s="486"/>
      <c r="L95" s="486"/>
      <c r="M95" s="486"/>
      <c r="N95" s="486"/>
    </row>
    <row r="96" spans="1:15" x14ac:dyDescent="0.3">
      <c r="A96" s="487" t="s">
        <v>32</v>
      </c>
      <c r="B96" s="489" t="s">
        <v>33</v>
      </c>
      <c r="C96" s="490"/>
      <c r="D96" s="490"/>
      <c r="E96" s="490"/>
      <c r="F96" s="490"/>
      <c r="G96" s="490"/>
      <c r="H96" s="490"/>
      <c r="I96" s="490"/>
      <c r="J96" s="490"/>
      <c r="K96" s="490"/>
      <c r="L96" s="490"/>
      <c r="M96" s="491"/>
      <c r="N96" s="492" t="s">
        <v>209</v>
      </c>
    </row>
    <row r="97" spans="1:14" ht="15" thickBot="1" x14ac:dyDescent="0.35">
      <c r="A97" s="488"/>
      <c r="B97" s="249" t="s">
        <v>34</v>
      </c>
      <c r="C97" s="266" t="s">
        <v>35</v>
      </c>
      <c r="D97" s="266" t="s">
        <v>36</v>
      </c>
      <c r="E97" s="266" t="s">
        <v>37</v>
      </c>
      <c r="F97" s="266" t="s">
        <v>38</v>
      </c>
      <c r="G97" s="266" t="s">
        <v>39</v>
      </c>
      <c r="H97" s="266" t="s">
        <v>40</v>
      </c>
      <c r="I97" s="266" t="s">
        <v>41</v>
      </c>
      <c r="J97" s="266" t="s">
        <v>42</v>
      </c>
      <c r="K97" s="266" t="s">
        <v>43</v>
      </c>
      <c r="L97" s="266" t="s">
        <v>44</v>
      </c>
      <c r="M97" s="266" t="s">
        <v>45</v>
      </c>
      <c r="N97" s="493"/>
    </row>
    <row r="98" spans="1:14" x14ac:dyDescent="0.3">
      <c r="A98" s="164" t="s">
        <v>217</v>
      </c>
      <c r="B98" s="358">
        <f>Довідник!B25</f>
        <v>20</v>
      </c>
      <c r="C98" s="358">
        <f>Довідник!C25</f>
        <v>20</v>
      </c>
      <c r="D98" s="358">
        <f>Довідник!D25</f>
        <v>22</v>
      </c>
      <c r="E98" s="358">
        <f>Довідник!E25</f>
        <v>21</v>
      </c>
      <c r="F98" s="358">
        <f>Довідник!F25</f>
        <v>22</v>
      </c>
      <c r="G98" s="358">
        <f>Довідник!G25</f>
        <v>21</v>
      </c>
      <c r="H98" s="358">
        <f>Довідник!H25</f>
        <v>22</v>
      </c>
      <c r="I98" s="358">
        <f>Довідник!I25</f>
        <v>22</v>
      </c>
      <c r="J98" s="358">
        <f>Довідник!J25</f>
        <v>21</v>
      </c>
      <c r="K98" s="358">
        <f>Довідник!K25</f>
        <v>21</v>
      </c>
      <c r="L98" s="358">
        <f>Довідник!L25</f>
        <v>20</v>
      </c>
      <c r="M98" s="358">
        <f>Довідник!M25</f>
        <v>20</v>
      </c>
      <c r="N98" s="359">
        <f>SUM(B98:M98)</f>
        <v>252</v>
      </c>
    </row>
    <row r="99" spans="1:14" ht="23.4" thickBot="1" x14ac:dyDescent="0.35">
      <c r="A99" s="171" t="s">
        <v>218</v>
      </c>
      <c r="B99" s="417">
        <f>Довідник!B32</f>
        <v>10</v>
      </c>
      <c r="C99" s="417">
        <f>Довідник!C32</f>
        <v>12</v>
      </c>
      <c r="D99" s="417">
        <f>Довідник!D32</f>
        <v>14</v>
      </c>
      <c r="E99" s="417">
        <f>Довідник!E32</f>
        <v>15</v>
      </c>
      <c r="F99" s="417">
        <f>Довідник!F32</f>
        <v>16</v>
      </c>
      <c r="G99" s="417">
        <f>Довідник!G32</f>
        <v>17</v>
      </c>
      <c r="H99" s="417">
        <f>Довідник!H32</f>
        <v>17</v>
      </c>
      <c r="I99" s="417">
        <f>Довідник!I32</f>
        <v>17</v>
      </c>
      <c r="J99" s="417">
        <f>Довідник!J32</f>
        <v>16</v>
      </c>
      <c r="K99" s="417">
        <f>Довідник!K32</f>
        <v>15</v>
      </c>
      <c r="L99" s="417">
        <f>Довідник!L32</f>
        <v>12</v>
      </c>
      <c r="M99" s="417">
        <f>Довідник!M32</f>
        <v>10</v>
      </c>
      <c r="N99" s="404"/>
    </row>
    <row r="100" spans="1:14" x14ac:dyDescent="0.3">
      <c r="A100" s="495" t="str">
        <f>'План вступу в члени'!A36</f>
        <v>Село 1</v>
      </c>
      <c r="B100" s="496"/>
      <c r="C100" s="496"/>
      <c r="D100" s="496"/>
      <c r="E100" s="496"/>
      <c r="F100" s="496"/>
      <c r="G100" s="496"/>
      <c r="H100" s="496"/>
      <c r="I100" s="496"/>
      <c r="J100" s="496"/>
      <c r="K100" s="496"/>
      <c r="L100" s="496"/>
      <c r="M100" s="496"/>
      <c r="N100" s="497"/>
    </row>
    <row r="101" spans="1:14" x14ac:dyDescent="0.3">
      <c r="A101" s="145" t="s">
        <v>219</v>
      </c>
      <c r="B101" s="405">
        <v>20</v>
      </c>
      <c r="C101" s="405">
        <v>20</v>
      </c>
      <c r="D101" s="405">
        <v>20</v>
      </c>
      <c r="E101" s="405">
        <v>25</v>
      </c>
      <c r="F101" s="405">
        <f>E101+'План вступу в члени'!F106</f>
        <v>25</v>
      </c>
      <c r="G101" s="405">
        <f>F101+'План вступу в члени'!G106</f>
        <v>25</v>
      </c>
      <c r="H101" s="405">
        <f>G101+'План вступу в члени'!H106</f>
        <v>25</v>
      </c>
      <c r="I101" s="405">
        <f>H101+'План вступу в члени'!I106</f>
        <v>25</v>
      </c>
      <c r="J101" s="405">
        <f>I101+'План вступу в члени'!J106</f>
        <v>25</v>
      </c>
      <c r="K101" s="405">
        <f>J101+'План вступу в члени'!K106</f>
        <v>25</v>
      </c>
      <c r="L101" s="405">
        <f>K101+'План вступу в члени'!L106</f>
        <v>25</v>
      </c>
      <c r="M101" s="405">
        <f>L101+'План вступу в члени'!M106</f>
        <v>25</v>
      </c>
      <c r="N101" s="406">
        <f>M101</f>
        <v>25</v>
      </c>
    </row>
    <row r="102" spans="1:14" x14ac:dyDescent="0.3">
      <c r="A102" s="407" t="s">
        <v>220</v>
      </c>
      <c r="B102" s="408"/>
      <c r="C102" s="408"/>
      <c r="D102" s="408"/>
      <c r="E102" s="409"/>
      <c r="F102" s="409"/>
      <c r="G102" s="409"/>
      <c r="H102" s="409"/>
      <c r="I102" s="409"/>
      <c r="J102" s="409"/>
      <c r="K102" s="408"/>
      <c r="L102" s="408"/>
      <c r="M102" s="408"/>
      <c r="N102" s="410"/>
    </row>
    <row r="103" spans="1:14" x14ac:dyDescent="0.3">
      <c r="A103" s="150" t="s">
        <v>221</v>
      </c>
      <c r="B103" s="381">
        <f>B99*B101/1000</f>
        <v>0.2</v>
      </c>
      <c r="C103" s="381">
        <f t="shared" ref="C103:M103" si="285">C99*C101/1000</f>
        <v>0.24</v>
      </c>
      <c r="D103" s="381">
        <f t="shared" si="285"/>
        <v>0.28000000000000003</v>
      </c>
      <c r="E103" s="381">
        <f t="shared" si="285"/>
        <v>0.375</v>
      </c>
      <c r="F103" s="381">
        <f t="shared" si="285"/>
        <v>0.4</v>
      </c>
      <c r="G103" s="381">
        <f t="shared" si="285"/>
        <v>0.42499999999999999</v>
      </c>
      <c r="H103" s="381">
        <f t="shared" si="285"/>
        <v>0.42499999999999999</v>
      </c>
      <c r="I103" s="381">
        <f t="shared" si="285"/>
        <v>0.42499999999999999</v>
      </c>
      <c r="J103" s="381">
        <f t="shared" si="285"/>
        <v>0.4</v>
      </c>
      <c r="K103" s="381">
        <f t="shared" si="285"/>
        <v>0.375</v>
      </c>
      <c r="L103" s="381">
        <f t="shared" si="285"/>
        <v>0.3</v>
      </c>
      <c r="M103" s="381">
        <f t="shared" si="285"/>
        <v>0.25</v>
      </c>
      <c r="N103" s="406"/>
    </row>
    <row r="104" spans="1:14" ht="22.8" x14ac:dyDescent="0.3">
      <c r="A104" s="400" t="s">
        <v>222</v>
      </c>
      <c r="B104" s="381">
        <f>B103*0.2</f>
        <v>4.0000000000000008E-2</v>
      </c>
      <c r="C104" s="381">
        <f t="shared" ref="C104" si="286">C103*0.2</f>
        <v>4.8000000000000001E-2</v>
      </c>
      <c r="D104" s="381">
        <f t="shared" ref="D104" si="287">D103*0.2</f>
        <v>5.6000000000000008E-2</v>
      </c>
      <c r="E104" s="381">
        <f t="shared" ref="E104" si="288">E103*0.2</f>
        <v>7.5000000000000011E-2</v>
      </c>
      <c r="F104" s="381">
        <f t="shared" ref="F104" si="289">F103*0.2</f>
        <v>8.0000000000000016E-2</v>
      </c>
      <c r="G104" s="381">
        <f t="shared" ref="G104" si="290">G103*0.2</f>
        <v>8.5000000000000006E-2</v>
      </c>
      <c r="H104" s="381">
        <f t="shared" ref="H104" si="291">H103*0.2</f>
        <v>8.5000000000000006E-2</v>
      </c>
      <c r="I104" s="381">
        <f t="shared" ref="I104" si="292">I103*0.2</f>
        <v>8.5000000000000006E-2</v>
      </c>
      <c r="J104" s="381">
        <f t="shared" ref="J104" si="293">J103*0.2</f>
        <v>8.0000000000000016E-2</v>
      </c>
      <c r="K104" s="381">
        <f t="shared" ref="K104" si="294">K103*0.2</f>
        <v>7.5000000000000011E-2</v>
      </c>
      <c r="L104" s="381">
        <f t="shared" ref="L104" si="295">L103*0.2</f>
        <v>0.06</v>
      </c>
      <c r="M104" s="381">
        <f t="shared" ref="M104" si="296">M103*0.2</f>
        <v>0.05</v>
      </c>
      <c r="N104" s="382">
        <f>SUM(B104:M104)</f>
        <v>0.81900000000000017</v>
      </c>
    </row>
    <row r="105" spans="1:14" ht="22.8" x14ac:dyDescent="0.3">
      <c r="A105" s="400" t="s">
        <v>223</v>
      </c>
      <c r="B105" s="381">
        <f>B103-B104</f>
        <v>0.16</v>
      </c>
      <c r="C105" s="381">
        <f t="shared" ref="C105" si="297">C103-C104</f>
        <v>0.192</v>
      </c>
      <c r="D105" s="381">
        <f t="shared" ref="D105" si="298">D103-D104</f>
        <v>0.22400000000000003</v>
      </c>
      <c r="E105" s="381">
        <f t="shared" ref="E105" si="299">E103-E104</f>
        <v>0.3</v>
      </c>
      <c r="F105" s="381">
        <f t="shared" ref="F105" si="300">F103-F104</f>
        <v>0.32</v>
      </c>
      <c r="G105" s="381">
        <f t="shared" ref="G105" si="301">G103-G104</f>
        <v>0.33999999999999997</v>
      </c>
      <c r="H105" s="381">
        <f t="shared" ref="H105" si="302">H103-H104</f>
        <v>0.33999999999999997</v>
      </c>
      <c r="I105" s="381">
        <f t="shared" ref="I105" si="303">I103-I104</f>
        <v>0.33999999999999997</v>
      </c>
      <c r="J105" s="381">
        <f t="shared" ref="J105" si="304">J103-J104</f>
        <v>0.32</v>
      </c>
      <c r="K105" s="381">
        <f t="shared" ref="K105" si="305">K103-K104</f>
        <v>0.3</v>
      </c>
      <c r="L105" s="381">
        <f t="shared" ref="L105" si="306">L103-L104</f>
        <v>0.24</v>
      </c>
      <c r="M105" s="381">
        <f t="shared" ref="M105" si="307">M103-M104</f>
        <v>0.2</v>
      </c>
      <c r="N105" s="382">
        <f>SUM(B105:M105)</f>
        <v>3.2759999999999998</v>
      </c>
    </row>
    <row r="106" spans="1:14" x14ac:dyDescent="0.3">
      <c r="A106" s="411" t="s">
        <v>224</v>
      </c>
      <c r="B106" s="412"/>
      <c r="C106" s="412"/>
      <c r="D106" s="412"/>
      <c r="E106" s="412"/>
      <c r="F106" s="412"/>
      <c r="G106" s="412"/>
      <c r="H106" s="412"/>
      <c r="I106" s="412"/>
      <c r="J106" s="412"/>
      <c r="K106" s="412"/>
      <c r="L106" s="412"/>
      <c r="M106" s="412"/>
      <c r="N106" s="413"/>
    </row>
    <row r="107" spans="1:14" x14ac:dyDescent="0.3">
      <c r="A107" s="150" t="s">
        <v>225</v>
      </c>
      <c r="B107" s="381">
        <f>B98*B103</f>
        <v>4</v>
      </c>
      <c r="C107" s="381">
        <f t="shared" ref="C107:M107" si="308">C98*C103</f>
        <v>4.8</v>
      </c>
      <c r="D107" s="381">
        <f t="shared" si="308"/>
        <v>6.16</v>
      </c>
      <c r="E107" s="381">
        <f t="shared" si="308"/>
        <v>7.875</v>
      </c>
      <c r="F107" s="381">
        <f t="shared" si="308"/>
        <v>8.8000000000000007</v>
      </c>
      <c r="G107" s="381">
        <f t="shared" si="308"/>
        <v>8.9249999999999989</v>
      </c>
      <c r="H107" s="381">
        <f t="shared" si="308"/>
        <v>9.35</v>
      </c>
      <c r="I107" s="381">
        <f t="shared" si="308"/>
        <v>9.35</v>
      </c>
      <c r="J107" s="381">
        <f t="shared" si="308"/>
        <v>8.4</v>
      </c>
      <c r="K107" s="381">
        <f t="shared" si="308"/>
        <v>7.875</v>
      </c>
      <c r="L107" s="381">
        <f t="shared" si="308"/>
        <v>6</v>
      </c>
      <c r="M107" s="381">
        <f t="shared" si="308"/>
        <v>5</v>
      </c>
      <c r="N107" s="382"/>
    </row>
    <row r="108" spans="1:14" ht="22.8" x14ac:dyDescent="0.3">
      <c r="A108" s="400" t="s">
        <v>222</v>
      </c>
      <c r="B108" s="381">
        <f>B107*0.2</f>
        <v>0.8</v>
      </c>
      <c r="C108" s="381">
        <f t="shared" ref="C108:M108" si="309">C107*0.2</f>
        <v>0.96</v>
      </c>
      <c r="D108" s="381">
        <f t="shared" si="309"/>
        <v>1.2320000000000002</v>
      </c>
      <c r="E108" s="381">
        <f t="shared" si="309"/>
        <v>1.5750000000000002</v>
      </c>
      <c r="F108" s="381">
        <f t="shared" si="309"/>
        <v>1.7600000000000002</v>
      </c>
      <c r="G108" s="381">
        <f t="shared" si="309"/>
        <v>1.7849999999999999</v>
      </c>
      <c r="H108" s="381">
        <f t="shared" si="309"/>
        <v>1.87</v>
      </c>
      <c r="I108" s="381">
        <f t="shared" si="309"/>
        <v>1.87</v>
      </c>
      <c r="J108" s="381">
        <f t="shared" si="309"/>
        <v>1.6800000000000002</v>
      </c>
      <c r="K108" s="381">
        <f t="shared" si="309"/>
        <v>1.5750000000000002</v>
      </c>
      <c r="L108" s="381">
        <f t="shared" si="309"/>
        <v>1.2000000000000002</v>
      </c>
      <c r="M108" s="381">
        <f t="shared" si="309"/>
        <v>1</v>
      </c>
      <c r="N108" s="382">
        <f>SUM(B108:M108)</f>
        <v>17.306999999999999</v>
      </c>
    </row>
    <row r="109" spans="1:14" ht="23.4" thickBot="1" x14ac:dyDescent="0.35">
      <c r="A109" s="401" t="s">
        <v>223</v>
      </c>
      <c r="B109" s="414">
        <f>B107-B108</f>
        <v>3.2</v>
      </c>
      <c r="C109" s="414">
        <f t="shared" ref="C109:M109" si="310">C107-C108</f>
        <v>3.84</v>
      </c>
      <c r="D109" s="414">
        <f t="shared" si="310"/>
        <v>4.9279999999999999</v>
      </c>
      <c r="E109" s="414">
        <f t="shared" si="310"/>
        <v>6.3</v>
      </c>
      <c r="F109" s="414">
        <f t="shared" si="310"/>
        <v>7.0400000000000009</v>
      </c>
      <c r="G109" s="414">
        <f t="shared" si="310"/>
        <v>7.1399999999999988</v>
      </c>
      <c r="H109" s="414">
        <f t="shared" si="310"/>
        <v>7.4799999999999995</v>
      </c>
      <c r="I109" s="414">
        <f t="shared" si="310"/>
        <v>7.4799999999999995</v>
      </c>
      <c r="J109" s="414">
        <f t="shared" si="310"/>
        <v>6.7200000000000006</v>
      </c>
      <c r="K109" s="414">
        <f t="shared" si="310"/>
        <v>6.3</v>
      </c>
      <c r="L109" s="414">
        <f t="shared" si="310"/>
        <v>4.8</v>
      </c>
      <c r="M109" s="414">
        <f t="shared" si="310"/>
        <v>4</v>
      </c>
      <c r="N109" s="415">
        <f>SUM(B109:M109)</f>
        <v>69.227999999999994</v>
      </c>
    </row>
    <row r="110" spans="1:14" x14ac:dyDescent="0.3">
      <c r="A110" s="495" t="str">
        <f>'План вступу в члени'!A37</f>
        <v>Село 2</v>
      </c>
      <c r="B110" s="496"/>
      <c r="C110" s="496"/>
      <c r="D110" s="496"/>
      <c r="E110" s="496"/>
      <c r="F110" s="496"/>
      <c r="G110" s="496"/>
      <c r="H110" s="496"/>
      <c r="I110" s="496"/>
      <c r="J110" s="496"/>
      <c r="K110" s="496"/>
      <c r="L110" s="496"/>
      <c r="M110" s="496"/>
      <c r="N110" s="497"/>
    </row>
    <row r="111" spans="1:14" x14ac:dyDescent="0.3">
      <c r="A111" s="145" t="s">
        <v>219</v>
      </c>
      <c r="B111" s="405">
        <v>65</v>
      </c>
      <c r="C111" s="405">
        <f>B111+'План вступу в члени'!C107</f>
        <v>65</v>
      </c>
      <c r="D111" s="405">
        <f>C111+'План вступу в члени'!D107</f>
        <v>65</v>
      </c>
      <c r="E111" s="405">
        <v>70</v>
      </c>
      <c r="F111" s="405">
        <f>E111+'План вступу в члени'!F107</f>
        <v>70</v>
      </c>
      <c r="G111" s="405">
        <f>F111+'План вступу в члени'!G107</f>
        <v>70</v>
      </c>
      <c r="H111" s="405">
        <f>G111+'План вступу в члени'!H107</f>
        <v>70</v>
      </c>
      <c r="I111" s="405">
        <f>H111+'План вступу в члени'!I107</f>
        <v>70</v>
      </c>
      <c r="J111" s="405">
        <f>I111+'План вступу в члени'!J107</f>
        <v>70</v>
      </c>
      <c r="K111" s="405">
        <f>J111+'План вступу в члени'!K107</f>
        <v>70</v>
      </c>
      <c r="L111" s="405">
        <f>K111+'План вступу в члени'!L107</f>
        <v>70</v>
      </c>
      <c r="M111" s="405">
        <f>L111+'План вступу в члени'!M107</f>
        <v>70</v>
      </c>
      <c r="N111" s="406">
        <f>M111</f>
        <v>70</v>
      </c>
    </row>
    <row r="112" spans="1:14" x14ac:dyDescent="0.3">
      <c r="A112" s="407" t="s">
        <v>220</v>
      </c>
      <c r="B112" s="408"/>
      <c r="C112" s="408"/>
      <c r="D112" s="408"/>
      <c r="E112" s="409"/>
      <c r="F112" s="409"/>
      <c r="G112" s="409"/>
      <c r="H112" s="409"/>
      <c r="I112" s="409"/>
      <c r="J112" s="409"/>
      <c r="K112" s="408"/>
      <c r="L112" s="408"/>
      <c r="M112" s="408"/>
      <c r="N112" s="410"/>
    </row>
    <row r="113" spans="1:14" x14ac:dyDescent="0.3">
      <c r="A113" s="150" t="s">
        <v>221</v>
      </c>
      <c r="B113" s="381">
        <f>B111*B99/1000</f>
        <v>0.65</v>
      </c>
      <c r="C113" s="381">
        <f t="shared" ref="C113:M113" si="311">C111*C99/1000</f>
        <v>0.78</v>
      </c>
      <c r="D113" s="381">
        <f t="shared" si="311"/>
        <v>0.91</v>
      </c>
      <c r="E113" s="381">
        <f t="shared" si="311"/>
        <v>1.05</v>
      </c>
      <c r="F113" s="381">
        <f t="shared" si="311"/>
        <v>1.1200000000000001</v>
      </c>
      <c r="G113" s="381">
        <f t="shared" si="311"/>
        <v>1.19</v>
      </c>
      <c r="H113" s="381">
        <f t="shared" si="311"/>
        <v>1.19</v>
      </c>
      <c r="I113" s="381">
        <f t="shared" si="311"/>
        <v>1.19</v>
      </c>
      <c r="J113" s="381">
        <f t="shared" si="311"/>
        <v>1.1200000000000001</v>
      </c>
      <c r="K113" s="381">
        <f t="shared" si="311"/>
        <v>1.05</v>
      </c>
      <c r="L113" s="381">
        <f t="shared" si="311"/>
        <v>0.84</v>
      </c>
      <c r="M113" s="381">
        <f t="shared" si="311"/>
        <v>0.7</v>
      </c>
      <c r="N113" s="406"/>
    </row>
    <row r="114" spans="1:14" ht="22.8" x14ac:dyDescent="0.3">
      <c r="A114" s="400" t="s">
        <v>222</v>
      </c>
      <c r="B114" s="381">
        <f>B113*0.2</f>
        <v>0.13</v>
      </c>
      <c r="C114" s="381">
        <f t="shared" ref="C114" si="312">C113*0.2</f>
        <v>0.15600000000000003</v>
      </c>
      <c r="D114" s="381">
        <f t="shared" ref="D114" si="313">D113*0.2</f>
        <v>0.18200000000000002</v>
      </c>
      <c r="E114" s="381">
        <f t="shared" ref="E114" si="314">E113*0.2</f>
        <v>0.21000000000000002</v>
      </c>
      <c r="F114" s="381">
        <f t="shared" ref="F114" si="315">F113*0.2</f>
        <v>0.22400000000000003</v>
      </c>
      <c r="G114" s="381">
        <f t="shared" ref="G114" si="316">G113*0.2</f>
        <v>0.23799999999999999</v>
      </c>
      <c r="H114" s="381">
        <f t="shared" ref="H114" si="317">H113*0.2</f>
        <v>0.23799999999999999</v>
      </c>
      <c r="I114" s="381">
        <f t="shared" ref="I114" si="318">I113*0.2</f>
        <v>0.23799999999999999</v>
      </c>
      <c r="J114" s="381">
        <f t="shared" ref="J114" si="319">J113*0.2</f>
        <v>0.22400000000000003</v>
      </c>
      <c r="K114" s="381">
        <f t="shared" ref="K114" si="320">K113*0.2</f>
        <v>0.21000000000000002</v>
      </c>
      <c r="L114" s="381">
        <f t="shared" ref="L114" si="321">L113*0.2</f>
        <v>0.16800000000000001</v>
      </c>
      <c r="M114" s="381">
        <f t="shared" ref="M114" si="322">M113*0.2</f>
        <v>0.13999999999999999</v>
      </c>
      <c r="N114" s="382">
        <f>SUM(B114:M114)</f>
        <v>2.3580000000000005</v>
      </c>
    </row>
    <row r="115" spans="1:14" ht="22.8" x14ac:dyDescent="0.3">
      <c r="A115" s="400" t="s">
        <v>223</v>
      </c>
      <c r="B115" s="381">
        <f>B113-B114</f>
        <v>0.52</v>
      </c>
      <c r="C115" s="381">
        <f t="shared" ref="C115" si="323">C113-C114</f>
        <v>0.624</v>
      </c>
      <c r="D115" s="381">
        <f t="shared" ref="D115" si="324">D113-D114</f>
        <v>0.72799999999999998</v>
      </c>
      <c r="E115" s="381">
        <f t="shared" ref="E115" si="325">E113-E114</f>
        <v>0.84000000000000008</v>
      </c>
      <c r="F115" s="381">
        <f t="shared" ref="F115" si="326">F113-F114</f>
        <v>0.89600000000000013</v>
      </c>
      <c r="G115" s="381">
        <f t="shared" ref="G115" si="327">G113-G114</f>
        <v>0.95199999999999996</v>
      </c>
      <c r="H115" s="381">
        <f t="shared" ref="H115" si="328">H113-H114</f>
        <v>0.95199999999999996</v>
      </c>
      <c r="I115" s="381">
        <f t="shared" ref="I115" si="329">I113-I114</f>
        <v>0.95199999999999996</v>
      </c>
      <c r="J115" s="381">
        <f t="shared" ref="J115" si="330">J113-J114</f>
        <v>0.89600000000000013</v>
      </c>
      <c r="K115" s="381">
        <f t="shared" ref="K115" si="331">K113-K114</f>
        <v>0.84000000000000008</v>
      </c>
      <c r="L115" s="381">
        <f t="shared" ref="L115" si="332">L113-L114</f>
        <v>0.67199999999999993</v>
      </c>
      <c r="M115" s="381">
        <f t="shared" ref="M115" si="333">M113-M114</f>
        <v>0.55999999999999994</v>
      </c>
      <c r="N115" s="382">
        <f>SUM(B115:M115)</f>
        <v>9.4320000000000022</v>
      </c>
    </row>
    <row r="116" spans="1:14" x14ac:dyDescent="0.3">
      <c r="A116" s="411" t="s">
        <v>224</v>
      </c>
      <c r="B116" s="412"/>
      <c r="C116" s="412"/>
      <c r="D116" s="412"/>
      <c r="E116" s="412"/>
      <c r="F116" s="412"/>
      <c r="G116" s="412"/>
      <c r="H116" s="412"/>
      <c r="I116" s="412"/>
      <c r="J116" s="412"/>
      <c r="K116" s="412"/>
      <c r="L116" s="412"/>
      <c r="M116" s="412"/>
      <c r="N116" s="413"/>
    </row>
    <row r="117" spans="1:14" x14ac:dyDescent="0.3">
      <c r="A117" s="150" t="s">
        <v>225</v>
      </c>
      <c r="B117" s="381">
        <f>B98*B113</f>
        <v>13</v>
      </c>
      <c r="C117" s="381">
        <f t="shared" ref="C117:M117" si="334">C98*C113</f>
        <v>15.600000000000001</v>
      </c>
      <c r="D117" s="381">
        <f t="shared" si="334"/>
        <v>20.02</v>
      </c>
      <c r="E117" s="381">
        <f t="shared" si="334"/>
        <v>22.05</v>
      </c>
      <c r="F117" s="381">
        <f t="shared" si="334"/>
        <v>24.64</v>
      </c>
      <c r="G117" s="381">
        <f t="shared" si="334"/>
        <v>24.99</v>
      </c>
      <c r="H117" s="381">
        <f t="shared" si="334"/>
        <v>26.18</v>
      </c>
      <c r="I117" s="381">
        <f t="shared" si="334"/>
        <v>26.18</v>
      </c>
      <c r="J117" s="381">
        <f t="shared" si="334"/>
        <v>23.520000000000003</v>
      </c>
      <c r="K117" s="381">
        <f t="shared" si="334"/>
        <v>22.05</v>
      </c>
      <c r="L117" s="381">
        <f t="shared" si="334"/>
        <v>16.8</v>
      </c>
      <c r="M117" s="381">
        <f t="shared" si="334"/>
        <v>14</v>
      </c>
      <c r="N117" s="382"/>
    </row>
    <row r="118" spans="1:14" ht="22.8" x14ac:dyDescent="0.3">
      <c r="A118" s="400" t="s">
        <v>222</v>
      </c>
      <c r="B118" s="381">
        <f>B117*0.2</f>
        <v>2.6</v>
      </c>
      <c r="C118" s="381">
        <f t="shared" ref="C118" si="335">C117*0.2</f>
        <v>3.1200000000000006</v>
      </c>
      <c r="D118" s="381">
        <f t="shared" ref="D118" si="336">D117*0.2</f>
        <v>4.0040000000000004</v>
      </c>
      <c r="E118" s="381">
        <f t="shared" ref="E118" si="337">E117*0.2</f>
        <v>4.41</v>
      </c>
      <c r="F118" s="381">
        <f t="shared" ref="F118" si="338">F117*0.2</f>
        <v>4.9280000000000008</v>
      </c>
      <c r="G118" s="381">
        <f t="shared" ref="G118" si="339">G117*0.2</f>
        <v>4.9980000000000002</v>
      </c>
      <c r="H118" s="381">
        <f t="shared" ref="H118" si="340">H117*0.2</f>
        <v>5.2360000000000007</v>
      </c>
      <c r="I118" s="381">
        <f t="shared" ref="I118" si="341">I117*0.2</f>
        <v>5.2360000000000007</v>
      </c>
      <c r="J118" s="381">
        <f t="shared" ref="J118" si="342">J117*0.2</f>
        <v>4.7040000000000006</v>
      </c>
      <c r="K118" s="381">
        <f t="shared" ref="K118" si="343">K117*0.2</f>
        <v>4.41</v>
      </c>
      <c r="L118" s="381">
        <f t="shared" ref="L118" si="344">L117*0.2</f>
        <v>3.3600000000000003</v>
      </c>
      <c r="M118" s="381">
        <f t="shared" ref="M118" si="345">M117*0.2</f>
        <v>2.8000000000000003</v>
      </c>
      <c r="N118" s="382">
        <f>SUM(B118:M118)</f>
        <v>49.805999999999997</v>
      </c>
    </row>
    <row r="119" spans="1:14" ht="23.4" thickBot="1" x14ac:dyDescent="0.35">
      <c r="A119" s="401" t="s">
        <v>223</v>
      </c>
      <c r="B119" s="414">
        <f>B117-B118</f>
        <v>10.4</v>
      </c>
      <c r="C119" s="414">
        <f t="shared" ref="C119" si="346">C117-C118</f>
        <v>12.48</v>
      </c>
      <c r="D119" s="414">
        <f t="shared" ref="D119" si="347">D117-D118</f>
        <v>16.015999999999998</v>
      </c>
      <c r="E119" s="414">
        <f t="shared" ref="E119" si="348">E117-E118</f>
        <v>17.64</v>
      </c>
      <c r="F119" s="414">
        <f t="shared" ref="F119" si="349">F117-F118</f>
        <v>19.712</v>
      </c>
      <c r="G119" s="414">
        <f t="shared" ref="G119" si="350">G117-G118</f>
        <v>19.991999999999997</v>
      </c>
      <c r="H119" s="414">
        <f t="shared" ref="H119" si="351">H117-H118</f>
        <v>20.943999999999999</v>
      </c>
      <c r="I119" s="414">
        <f t="shared" ref="I119" si="352">I117-I118</f>
        <v>20.943999999999999</v>
      </c>
      <c r="J119" s="414">
        <f t="shared" ref="J119" si="353">J117-J118</f>
        <v>18.816000000000003</v>
      </c>
      <c r="K119" s="414">
        <f t="shared" ref="K119" si="354">K117-K118</f>
        <v>17.64</v>
      </c>
      <c r="L119" s="414">
        <f t="shared" ref="L119" si="355">L117-L118</f>
        <v>13.440000000000001</v>
      </c>
      <c r="M119" s="414">
        <f t="shared" ref="M119" si="356">M117-M118</f>
        <v>11.2</v>
      </c>
      <c r="N119" s="415">
        <f>SUM(B119:M119)</f>
        <v>199.22399999999999</v>
      </c>
    </row>
    <row r="120" spans="1:14" x14ac:dyDescent="0.3">
      <c r="A120" s="495" t="str">
        <f>'План вступу в члени'!A38</f>
        <v>Село 3</v>
      </c>
      <c r="B120" s="496"/>
      <c r="C120" s="496"/>
      <c r="D120" s="496"/>
      <c r="E120" s="496"/>
      <c r="F120" s="496"/>
      <c r="G120" s="496"/>
      <c r="H120" s="496"/>
      <c r="I120" s="496"/>
      <c r="J120" s="496"/>
      <c r="K120" s="496"/>
      <c r="L120" s="496"/>
      <c r="M120" s="496"/>
      <c r="N120" s="497"/>
    </row>
    <row r="121" spans="1:14" x14ac:dyDescent="0.3">
      <c r="A121" s="145" t="s">
        <v>219</v>
      </c>
      <c r="B121" s="405">
        <v>30</v>
      </c>
      <c r="C121" s="405">
        <f>B121+'План вступу в члени'!C108</f>
        <v>30</v>
      </c>
      <c r="D121" s="405">
        <f>C121+'План вступу в члени'!D108</f>
        <v>30</v>
      </c>
      <c r="E121" s="405">
        <f>D121+'План вступу в члени'!E108</f>
        <v>30</v>
      </c>
      <c r="F121" s="405">
        <f>E121+'План вступу в члени'!F108</f>
        <v>30</v>
      </c>
      <c r="G121" s="405">
        <f>F121+'План вступу в члени'!G108</f>
        <v>30</v>
      </c>
      <c r="H121" s="405">
        <f>G121+'План вступу в члени'!H108</f>
        <v>30</v>
      </c>
      <c r="I121" s="405">
        <f>H121+'План вступу в члени'!I108</f>
        <v>30</v>
      </c>
      <c r="J121" s="405">
        <f>I121+'План вступу в члени'!J108</f>
        <v>30</v>
      </c>
      <c r="K121" s="405">
        <f>J121+'План вступу в члени'!K108</f>
        <v>30</v>
      </c>
      <c r="L121" s="405">
        <f>K121+'План вступу в члени'!L108</f>
        <v>30</v>
      </c>
      <c r="M121" s="405">
        <f>L121+'План вступу в члени'!M108</f>
        <v>30</v>
      </c>
      <c r="N121" s="406">
        <f>M121</f>
        <v>30</v>
      </c>
    </row>
    <row r="122" spans="1:14" x14ac:dyDescent="0.3">
      <c r="A122" s="407" t="s">
        <v>220</v>
      </c>
      <c r="B122" s="408"/>
      <c r="C122" s="408"/>
      <c r="D122" s="408"/>
      <c r="E122" s="409"/>
      <c r="F122" s="409"/>
      <c r="G122" s="409"/>
      <c r="H122" s="409"/>
      <c r="I122" s="409"/>
      <c r="J122" s="409"/>
      <c r="K122" s="408"/>
      <c r="L122" s="408"/>
      <c r="M122" s="408"/>
      <c r="N122" s="410"/>
    </row>
    <row r="123" spans="1:14" x14ac:dyDescent="0.3">
      <c r="A123" s="150" t="s">
        <v>221</v>
      </c>
      <c r="B123" s="381">
        <f>B121*B99/1000</f>
        <v>0.3</v>
      </c>
      <c r="C123" s="381">
        <f t="shared" ref="C123:M123" si="357">C121*C99/1000</f>
        <v>0.36</v>
      </c>
      <c r="D123" s="381">
        <f t="shared" si="357"/>
        <v>0.42</v>
      </c>
      <c r="E123" s="381">
        <f t="shared" si="357"/>
        <v>0.45</v>
      </c>
      <c r="F123" s="381">
        <f t="shared" si="357"/>
        <v>0.48</v>
      </c>
      <c r="G123" s="381">
        <f t="shared" si="357"/>
        <v>0.51</v>
      </c>
      <c r="H123" s="381">
        <f t="shared" si="357"/>
        <v>0.51</v>
      </c>
      <c r="I123" s="381">
        <f t="shared" si="357"/>
        <v>0.51</v>
      </c>
      <c r="J123" s="381">
        <f t="shared" si="357"/>
        <v>0.48</v>
      </c>
      <c r="K123" s="381">
        <f t="shared" si="357"/>
        <v>0.45</v>
      </c>
      <c r="L123" s="381">
        <f t="shared" si="357"/>
        <v>0.36</v>
      </c>
      <c r="M123" s="381">
        <f t="shared" si="357"/>
        <v>0.3</v>
      </c>
      <c r="N123" s="406"/>
    </row>
    <row r="124" spans="1:14" ht="22.8" x14ac:dyDescent="0.3">
      <c r="A124" s="400" t="s">
        <v>222</v>
      </c>
      <c r="B124" s="381">
        <f>B123*0.2</f>
        <v>0.06</v>
      </c>
      <c r="C124" s="381">
        <f t="shared" ref="C124" si="358">C123*0.2</f>
        <v>7.1999999999999995E-2</v>
      </c>
      <c r="D124" s="381">
        <f t="shared" ref="D124" si="359">D123*0.2</f>
        <v>8.4000000000000005E-2</v>
      </c>
      <c r="E124" s="381">
        <f t="shared" ref="E124" si="360">E123*0.2</f>
        <v>9.0000000000000011E-2</v>
      </c>
      <c r="F124" s="381">
        <f t="shared" ref="F124" si="361">F123*0.2</f>
        <v>9.6000000000000002E-2</v>
      </c>
      <c r="G124" s="381">
        <f t="shared" ref="G124" si="362">G123*0.2</f>
        <v>0.10200000000000001</v>
      </c>
      <c r="H124" s="381">
        <f t="shared" ref="H124" si="363">H123*0.2</f>
        <v>0.10200000000000001</v>
      </c>
      <c r="I124" s="381">
        <f t="shared" ref="I124" si="364">I123*0.2</f>
        <v>0.10200000000000001</v>
      </c>
      <c r="J124" s="381">
        <f t="shared" ref="J124" si="365">J123*0.2</f>
        <v>9.6000000000000002E-2</v>
      </c>
      <c r="K124" s="381">
        <f t="shared" ref="K124" si="366">K123*0.2</f>
        <v>9.0000000000000011E-2</v>
      </c>
      <c r="L124" s="381">
        <f t="shared" ref="L124" si="367">L123*0.2</f>
        <v>7.1999999999999995E-2</v>
      </c>
      <c r="M124" s="381">
        <f t="shared" ref="M124" si="368">M123*0.2</f>
        <v>0.06</v>
      </c>
      <c r="N124" s="382">
        <f>SUM(B124:M124)</f>
        <v>1.0259999999999998</v>
      </c>
    </row>
    <row r="125" spans="1:14" ht="22.8" x14ac:dyDescent="0.3">
      <c r="A125" s="400" t="s">
        <v>223</v>
      </c>
      <c r="B125" s="381">
        <f>B123-B124</f>
        <v>0.24</v>
      </c>
      <c r="C125" s="381">
        <f t="shared" ref="C125" si="369">C123-C124</f>
        <v>0.28799999999999998</v>
      </c>
      <c r="D125" s="381">
        <f t="shared" ref="D125" si="370">D123-D124</f>
        <v>0.33599999999999997</v>
      </c>
      <c r="E125" s="381">
        <f t="shared" ref="E125" si="371">E123-E124</f>
        <v>0.36</v>
      </c>
      <c r="F125" s="381">
        <f t="shared" ref="F125" si="372">F123-F124</f>
        <v>0.38400000000000001</v>
      </c>
      <c r="G125" s="381">
        <f t="shared" ref="G125" si="373">G123-G124</f>
        <v>0.40800000000000003</v>
      </c>
      <c r="H125" s="381">
        <f t="shared" ref="H125" si="374">H123-H124</f>
        <v>0.40800000000000003</v>
      </c>
      <c r="I125" s="381">
        <f t="shared" ref="I125" si="375">I123-I124</f>
        <v>0.40800000000000003</v>
      </c>
      <c r="J125" s="381">
        <f t="shared" ref="J125" si="376">J123-J124</f>
        <v>0.38400000000000001</v>
      </c>
      <c r="K125" s="381">
        <f t="shared" ref="K125" si="377">K123-K124</f>
        <v>0.36</v>
      </c>
      <c r="L125" s="381">
        <f t="shared" ref="L125" si="378">L123-L124</f>
        <v>0.28799999999999998</v>
      </c>
      <c r="M125" s="381">
        <f t="shared" ref="M125" si="379">M123-M124</f>
        <v>0.24</v>
      </c>
      <c r="N125" s="382">
        <f>SUM(B125:M125)</f>
        <v>4.1039999999999992</v>
      </c>
    </row>
    <row r="126" spans="1:14" x14ac:dyDescent="0.3">
      <c r="A126" s="411" t="s">
        <v>224</v>
      </c>
      <c r="B126" s="412"/>
      <c r="C126" s="412"/>
      <c r="D126" s="412"/>
      <c r="E126" s="412"/>
      <c r="F126" s="412"/>
      <c r="G126" s="412"/>
      <c r="H126" s="412"/>
      <c r="I126" s="412"/>
      <c r="J126" s="412"/>
      <c r="K126" s="412"/>
      <c r="L126" s="412"/>
      <c r="M126" s="412"/>
      <c r="N126" s="413"/>
    </row>
    <row r="127" spans="1:14" x14ac:dyDescent="0.3">
      <c r="A127" s="150" t="s">
        <v>225</v>
      </c>
      <c r="B127" s="381">
        <f>B123*B98</f>
        <v>6</v>
      </c>
      <c r="C127" s="381">
        <f t="shared" ref="C127:M127" si="380">C123*C98</f>
        <v>7.1999999999999993</v>
      </c>
      <c r="D127" s="381">
        <f t="shared" si="380"/>
        <v>9.24</v>
      </c>
      <c r="E127" s="381">
        <f t="shared" si="380"/>
        <v>9.4500000000000011</v>
      </c>
      <c r="F127" s="381">
        <f t="shared" si="380"/>
        <v>10.559999999999999</v>
      </c>
      <c r="G127" s="381">
        <f t="shared" si="380"/>
        <v>10.71</v>
      </c>
      <c r="H127" s="381">
        <f t="shared" si="380"/>
        <v>11.22</v>
      </c>
      <c r="I127" s="381">
        <f t="shared" si="380"/>
        <v>11.22</v>
      </c>
      <c r="J127" s="381">
        <f t="shared" si="380"/>
        <v>10.08</v>
      </c>
      <c r="K127" s="381">
        <f t="shared" si="380"/>
        <v>9.4500000000000011</v>
      </c>
      <c r="L127" s="381">
        <f t="shared" si="380"/>
        <v>7.1999999999999993</v>
      </c>
      <c r="M127" s="381">
        <f t="shared" si="380"/>
        <v>6</v>
      </c>
      <c r="N127" s="382"/>
    </row>
    <row r="128" spans="1:14" ht="22.8" x14ac:dyDescent="0.3">
      <c r="A128" s="400" t="s">
        <v>222</v>
      </c>
      <c r="B128" s="381">
        <f>B127*0.2</f>
        <v>1.2000000000000002</v>
      </c>
      <c r="C128" s="381">
        <f t="shared" ref="C128" si="381">C127*0.2</f>
        <v>1.44</v>
      </c>
      <c r="D128" s="381">
        <f t="shared" ref="D128" si="382">D127*0.2</f>
        <v>1.8480000000000001</v>
      </c>
      <c r="E128" s="381">
        <f t="shared" ref="E128" si="383">E127*0.2</f>
        <v>1.8900000000000003</v>
      </c>
      <c r="F128" s="381">
        <f t="shared" ref="F128" si="384">F127*0.2</f>
        <v>2.1119999999999997</v>
      </c>
      <c r="G128" s="381">
        <f t="shared" ref="G128" si="385">G127*0.2</f>
        <v>2.1420000000000003</v>
      </c>
      <c r="H128" s="381">
        <f t="shared" ref="H128" si="386">H127*0.2</f>
        <v>2.2440000000000002</v>
      </c>
      <c r="I128" s="381">
        <f t="shared" ref="I128" si="387">I127*0.2</f>
        <v>2.2440000000000002</v>
      </c>
      <c r="J128" s="381">
        <f t="shared" ref="J128" si="388">J127*0.2</f>
        <v>2.016</v>
      </c>
      <c r="K128" s="381">
        <f t="shared" ref="K128" si="389">K127*0.2</f>
        <v>1.8900000000000003</v>
      </c>
      <c r="L128" s="381">
        <f t="shared" ref="L128" si="390">L127*0.2</f>
        <v>1.44</v>
      </c>
      <c r="M128" s="381">
        <f t="shared" ref="M128" si="391">M127*0.2</f>
        <v>1.2000000000000002</v>
      </c>
      <c r="N128" s="382">
        <f>SUM(B128:M128)</f>
        <v>21.666000000000004</v>
      </c>
    </row>
    <row r="129" spans="1:15" ht="23.4" thickBot="1" x14ac:dyDescent="0.35">
      <c r="A129" s="401" t="s">
        <v>223</v>
      </c>
      <c r="B129" s="414">
        <f>B127-B128</f>
        <v>4.8</v>
      </c>
      <c r="C129" s="414">
        <f t="shared" ref="C129" si="392">C127-C128</f>
        <v>5.76</v>
      </c>
      <c r="D129" s="414">
        <f t="shared" ref="D129" si="393">D127-D128</f>
        <v>7.3920000000000003</v>
      </c>
      <c r="E129" s="414">
        <f t="shared" ref="E129" si="394">E127-E128</f>
        <v>7.5600000000000005</v>
      </c>
      <c r="F129" s="414">
        <f t="shared" ref="F129" si="395">F127-F128</f>
        <v>8.4479999999999986</v>
      </c>
      <c r="G129" s="414">
        <f t="shared" ref="G129" si="396">G127-G128</f>
        <v>8.5680000000000014</v>
      </c>
      <c r="H129" s="414">
        <f t="shared" ref="H129" si="397">H127-H128</f>
        <v>8.9760000000000009</v>
      </c>
      <c r="I129" s="414">
        <f t="shared" ref="I129" si="398">I127-I128</f>
        <v>8.9760000000000009</v>
      </c>
      <c r="J129" s="414">
        <f t="shared" ref="J129" si="399">J127-J128</f>
        <v>8.0640000000000001</v>
      </c>
      <c r="K129" s="414">
        <f t="shared" ref="K129" si="400">K127-K128</f>
        <v>7.5600000000000005</v>
      </c>
      <c r="L129" s="414">
        <f t="shared" ref="L129" si="401">L127-L128</f>
        <v>5.76</v>
      </c>
      <c r="M129" s="414">
        <f t="shared" ref="M129" si="402">M127-M128</f>
        <v>4.8</v>
      </c>
      <c r="N129" s="415">
        <f>SUM(B129:M129)</f>
        <v>86.664000000000016</v>
      </c>
    </row>
    <row r="130" spans="1:15" x14ac:dyDescent="0.3">
      <c r="A130" s="495" t="str">
        <f>'План вступу в члени'!A39</f>
        <v>Село 4</v>
      </c>
      <c r="B130" s="496"/>
      <c r="C130" s="496"/>
      <c r="D130" s="496"/>
      <c r="E130" s="496"/>
      <c r="F130" s="496"/>
      <c r="G130" s="496"/>
      <c r="H130" s="496"/>
      <c r="I130" s="496"/>
      <c r="J130" s="496"/>
      <c r="K130" s="496"/>
      <c r="L130" s="496"/>
      <c r="M130" s="496"/>
      <c r="N130" s="497"/>
    </row>
    <row r="131" spans="1:15" x14ac:dyDescent="0.3">
      <c r="A131" s="145" t="s">
        <v>219</v>
      </c>
      <c r="B131" s="405">
        <v>85</v>
      </c>
      <c r="C131" s="405">
        <f>B131+'План вступу в члени'!C109</f>
        <v>85</v>
      </c>
      <c r="D131" s="405">
        <f>C131+'План вступу в члени'!D109</f>
        <v>85</v>
      </c>
      <c r="E131" s="405">
        <f>D131+'План вступу в члени'!E109</f>
        <v>85</v>
      </c>
      <c r="F131" s="405">
        <f>E131+'План вступу в члени'!F109</f>
        <v>85</v>
      </c>
      <c r="G131" s="405">
        <f>F131+'План вступу в члени'!G109</f>
        <v>85</v>
      </c>
      <c r="H131" s="405">
        <f>G131+'План вступу в члени'!H109</f>
        <v>85</v>
      </c>
      <c r="I131" s="405">
        <f>H131+'План вступу в члени'!I109</f>
        <v>85</v>
      </c>
      <c r="J131" s="405">
        <f>I131+'План вступу в члени'!J109</f>
        <v>85</v>
      </c>
      <c r="K131" s="405">
        <f>J131+'План вступу в члени'!K109</f>
        <v>85</v>
      </c>
      <c r="L131" s="405">
        <f>K131+'План вступу в члени'!L109</f>
        <v>85</v>
      </c>
      <c r="M131" s="405">
        <f>L131+'План вступу в члени'!M109</f>
        <v>85</v>
      </c>
      <c r="N131" s="406">
        <f>M131</f>
        <v>85</v>
      </c>
    </row>
    <row r="132" spans="1:15" x14ac:dyDescent="0.3">
      <c r="A132" s="407" t="s">
        <v>220</v>
      </c>
      <c r="B132" s="408"/>
      <c r="C132" s="408"/>
      <c r="D132" s="408"/>
      <c r="E132" s="409"/>
      <c r="F132" s="409"/>
      <c r="G132" s="409"/>
      <c r="H132" s="409"/>
      <c r="I132" s="409"/>
      <c r="J132" s="409"/>
      <c r="K132" s="408"/>
      <c r="L132" s="408"/>
      <c r="M132" s="408"/>
      <c r="N132" s="410"/>
    </row>
    <row r="133" spans="1:15" x14ac:dyDescent="0.3">
      <c r="A133" s="150" t="s">
        <v>221</v>
      </c>
      <c r="B133" s="381">
        <f>B131*B99/1000</f>
        <v>0.85</v>
      </c>
      <c r="C133" s="381">
        <f t="shared" ref="C133:M133" si="403">C131*C99/1000</f>
        <v>1.02</v>
      </c>
      <c r="D133" s="381">
        <f t="shared" si="403"/>
        <v>1.19</v>
      </c>
      <c r="E133" s="381">
        <f t="shared" si="403"/>
        <v>1.2749999999999999</v>
      </c>
      <c r="F133" s="381">
        <f t="shared" si="403"/>
        <v>1.36</v>
      </c>
      <c r="G133" s="381">
        <f t="shared" si="403"/>
        <v>1.4450000000000001</v>
      </c>
      <c r="H133" s="381">
        <f t="shared" si="403"/>
        <v>1.4450000000000001</v>
      </c>
      <c r="I133" s="381">
        <f t="shared" si="403"/>
        <v>1.4450000000000001</v>
      </c>
      <c r="J133" s="381">
        <f t="shared" si="403"/>
        <v>1.36</v>
      </c>
      <c r="K133" s="381">
        <f t="shared" si="403"/>
        <v>1.2749999999999999</v>
      </c>
      <c r="L133" s="381">
        <f t="shared" si="403"/>
        <v>1.02</v>
      </c>
      <c r="M133" s="381">
        <f t="shared" si="403"/>
        <v>0.85</v>
      </c>
      <c r="N133" s="406"/>
    </row>
    <row r="134" spans="1:15" ht="22.8" x14ac:dyDescent="0.3">
      <c r="A134" s="400" t="s">
        <v>222</v>
      </c>
      <c r="B134" s="381">
        <f>B133*0.2</f>
        <v>0.17</v>
      </c>
      <c r="C134" s="381">
        <f t="shared" ref="C134" si="404">C133*0.2</f>
        <v>0.20400000000000001</v>
      </c>
      <c r="D134" s="381">
        <f t="shared" ref="D134" si="405">D133*0.2</f>
        <v>0.23799999999999999</v>
      </c>
      <c r="E134" s="381">
        <f t="shared" ref="E134" si="406">E133*0.2</f>
        <v>0.255</v>
      </c>
      <c r="F134" s="381">
        <f t="shared" ref="F134" si="407">F133*0.2</f>
        <v>0.27200000000000002</v>
      </c>
      <c r="G134" s="381">
        <f t="shared" ref="G134" si="408">G133*0.2</f>
        <v>0.28900000000000003</v>
      </c>
      <c r="H134" s="381">
        <f t="shared" ref="H134" si="409">H133*0.2</f>
        <v>0.28900000000000003</v>
      </c>
      <c r="I134" s="381">
        <f t="shared" ref="I134" si="410">I133*0.2</f>
        <v>0.28900000000000003</v>
      </c>
      <c r="J134" s="381">
        <f t="shared" ref="J134" si="411">J133*0.2</f>
        <v>0.27200000000000002</v>
      </c>
      <c r="K134" s="381">
        <f t="shared" ref="K134" si="412">K133*0.2</f>
        <v>0.255</v>
      </c>
      <c r="L134" s="381">
        <f t="shared" ref="L134" si="413">L133*0.2</f>
        <v>0.20400000000000001</v>
      </c>
      <c r="M134" s="381">
        <f t="shared" ref="M134" si="414">M133*0.2</f>
        <v>0.17</v>
      </c>
      <c r="N134" s="382">
        <f>SUM(B134:M134)</f>
        <v>2.9070000000000005</v>
      </c>
    </row>
    <row r="135" spans="1:15" ht="22.8" x14ac:dyDescent="0.3">
      <c r="A135" s="400" t="s">
        <v>223</v>
      </c>
      <c r="B135" s="381">
        <f>B133-B134</f>
        <v>0.67999999999999994</v>
      </c>
      <c r="C135" s="381">
        <f t="shared" ref="C135" si="415">C133-C134</f>
        <v>0.81600000000000006</v>
      </c>
      <c r="D135" s="381">
        <f t="shared" ref="D135" si="416">D133-D134</f>
        <v>0.95199999999999996</v>
      </c>
      <c r="E135" s="381">
        <f t="shared" ref="E135" si="417">E133-E134</f>
        <v>1.02</v>
      </c>
      <c r="F135" s="381">
        <f t="shared" ref="F135" si="418">F133-F134</f>
        <v>1.0880000000000001</v>
      </c>
      <c r="G135" s="381">
        <f t="shared" ref="G135" si="419">G133-G134</f>
        <v>1.1560000000000001</v>
      </c>
      <c r="H135" s="381">
        <f t="shared" ref="H135" si="420">H133-H134</f>
        <v>1.1560000000000001</v>
      </c>
      <c r="I135" s="381">
        <f t="shared" ref="I135" si="421">I133-I134</f>
        <v>1.1560000000000001</v>
      </c>
      <c r="J135" s="381">
        <f t="shared" ref="J135" si="422">J133-J134</f>
        <v>1.0880000000000001</v>
      </c>
      <c r="K135" s="381">
        <f t="shared" ref="K135" si="423">K133-K134</f>
        <v>1.02</v>
      </c>
      <c r="L135" s="381">
        <f t="shared" ref="L135" si="424">L133-L134</f>
        <v>0.81600000000000006</v>
      </c>
      <c r="M135" s="381">
        <f t="shared" ref="M135" si="425">M133-M134</f>
        <v>0.67999999999999994</v>
      </c>
      <c r="N135" s="382">
        <f>SUM(B135:M135)</f>
        <v>11.628000000000002</v>
      </c>
    </row>
    <row r="136" spans="1:15" x14ac:dyDescent="0.3">
      <c r="A136" s="411" t="s">
        <v>224</v>
      </c>
      <c r="B136" s="412"/>
      <c r="C136" s="412"/>
      <c r="D136" s="412"/>
      <c r="E136" s="412"/>
      <c r="F136" s="412"/>
      <c r="G136" s="412"/>
      <c r="H136" s="412"/>
      <c r="I136" s="412"/>
      <c r="J136" s="412"/>
      <c r="K136" s="412"/>
      <c r="L136" s="412"/>
      <c r="M136" s="412"/>
      <c r="N136" s="413"/>
    </row>
    <row r="137" spans="1:15" x14ac:dyDescent="0.3">
      <c r="A137" s="150" t="s">
        <v>225</v>
      </c>
      <c r="B137" s="381">
        <f>B133*B98</f>
        <v>17</v>
      </c>
      <c r="C137" s="381">
        <f t="shared" ref="C137:M137" si="426">C133*C98</f>
        <v>20.399999999999999</v>
      </c>
      <c r="D137" s="381">
        <f t="shared" si="426"/>
        <v>26.18</v>
      </c>
      <c r="E137" s="381">
        <f t="shared" si="426"/>
        <v>26.774999999999999</v>
      </c>
      <c r="F137" s="381">
        <f t="shared" si="426"/>
        <v>29.92</v>
      </c>
      <c r="G137" s="381">
        <f t="shared" si="426"/>
        <v>30.345000000000002</v>
      </c>
      <c r="H137" s="381">
        <f t="shared" si="426"/>
        <v>31.790000000000003</v>
      </c>
      <c r="I137" s="381">
        <f t="shared" si="426"/>
        <v>31.790000000000003</v>
      </c>
      <c r="J137" s="381">
        <f t="shared" si="426"/>
        <v>28.560000000000002</v>
      </c>
      <c r="K137" s="381">
        <f t="shared" si="426"/>
        <v>26.774999999999999</v>
      </c>
      <c r="L137" s="381">
        <f t="shared" si="426"/>
        <v>20.399999999999999</v>
      </c>
      <c r="M137" s="381">
        <f t="shared" si="426"/>
        <v>17</v>
      </c>
      <c r="N137" s="382"/>
    </row>
    <row r="138" spans="1:15" ht="22.8" x14ac:dyDescent="0.3">
      <c r="A138" s="400" t="s">
        <v>222</v>
      </c>
      <c r="B138" s="381">
        <f>B137*0.2</f>
        <v>3.4000000000000004</v>
      </c>
      <c r="C138" s="381">
        <f t="shared" ref="C138" si="427">C137*0.2</f>
        <v>4.08</v>
      </c>
      <c r="D138" s="381">
        <f t="shared" ref="D138" si="428">D137*0.2</f>
        <v>5.2360000000000007</v>
      </c>
      <c r="E138" s="381">
        <f t="shared" ref="E138" si="429">E137*0.2</f>
        <v>5.3550000000000004</v>
      </c>
      <c r="F138" s="381">
        <f t="shared" ref="F138" si="430">F137*0.2</f>
        <v>5.9840000000000009</v>
      </c>
      <c r="G138" s="381">
        <f t="shared" ref="G138" si="431">G137*0.2</f>
        <v>6.0690000000000008</v>
      </c>
      <c r="H138" s="381">
        <f t="shared" ref="H138" si="432">H137*0.2</f>
        <v>6.3580000000000005</v>
      </c>
      <c r="I138" s="381">
        <f t="shared" ref="I138" si="433">I137*0.2</f>
        <v>6.3580000000000005</v>
      </c>
      <c r="J138" s="381">
        <f t="shared" ref="J138" si="434">J137*0.2</f>
        <v>5.7120000000000006</v>
      </c>
      <c r="K138" s="381">
        <f t="shared" ref="K138" si="435">K137*0.2</f>
        <v>5.3550000000000004</v>
      </c>
      <c r="L138" s="381">
        <f t="shared" ref="L138" si="436">L137*0.2</f>
        <v>4.08</v>
      </c>
      <c r="M138" s="381">
        <f t="shared" ref="M138" si="437">M137*0.2</f>
        <v>3.4000000000000004</v>
      </c>
      <c r="N138" s="382">
        <f>SUM(B138:M138)</f>
        <v>61.387000000000008</v>
      </c>
    </row>
    <row r="139" spans="1:15" ht="23.4" thickBot="1" x14ac:dyDescent="0.35">
      <c r="A139" s="401" t="s">
        <v>223</v>
      </c>
      <c r="B139" s="414">
        <f>B137-B138</f>
        <v>13.6</v>
      </c>
      <c r="C139" s="414">
        <f t="shared" ref="C139" si="438">C137-C138</f>
        <v>16.32</v>
      </c>
      <c r="D139" s="414">
        <f t="shared" ref="D139" si="439">D137-D138</f>
        <v>20.943999999999999</v>
      </c>
      <c r="E139" s="414">
        <f t="shared" ref="E139" si="440">E137-E138</f>
        <v>21.419999999999998</v>
      </c>
      <c r="F139" s="414">
        <f t="shared" ref="F139" si="441">F137-F138</f>
        <v>23.936</v>
      </c>
      <c r="G139" s="414">
        <f t="shared" ref="G139" si="442">G137-G138</f>
        <v>24.276000000000003</v>
      </c>
      <c r="H139" s="414">
        <f t="shared" ref="H139" si="443">H137-H138</f>
        <v>25.432000000000002</v>
      </c>
      <c r="I139" s="414">
        <f t="shared" ref="I139" si="444">I137-I138</f>
        <v>25.432000000000002</v>
      </c>
      <c r="J139" s="414">
        <f t="shared" ref="J139" si="445">J137-J138</f>
        <v>22.848000000000003</v>
      </c>
      <c r="K139" s="414">
        <f t="shared" ref="K139" si="446">K137-K138</f>
        <v>21.419999999999998</v>
      </c>
      <c r="L139" s="414">
        <f t="shared" ref="L139" si="447">L137-L138</f>
        <v>16.32</v>
      </c>
      <c r="M139" s="414">
        <f t="shared" ref="M139" si="448">M137-M138</f>
        <v>13.6</v>
      </c>
      <c r="N139" s="415">
        <f>SUM(B139:M139)</f>
        <v>245.548</v>
      </c>
      <c r="O139" s="416"/>
    </row>
  </sheetData>
  <sheetProtection algorithmName="SHA-512" hashValue="ceY39JGo3H9JixDwuMV+QOuriqBWIxLxa+BReTfP2SEzGAMgBmv7bCdv4/01woTUQHR2xylroR6I5s6h+Oo39Q==" saltValue="tbkFQp8Xl2et24gQ9j7WLg==" spinCount="100000" sheet="1" objects="1" scenarios="1"/>
  <mergeCells count="27">
    <mergeCell ref="A1:N1"/>
    <mergeCell ref="A2:A3"/>
    <mergeCell ref="B2:M2"/>
    <mergeCell ref="N2:N3"/>
    <mergeCell ref="A6:N6"/>
    <mergeCell ref="A130:N130"/>
    <mergeCell ref="A53:N53"/>
    <mergeCell ref="A63:N63"/>
    <mergeCell ref="A73:N73"/>
    <mergeCell ref="A83:N83"/>
    <mergeCell ref="A95:N95"/>
    <mergeCell ref="A96:A97"/>
    <mergeCell ref="B96:M96"/>
    <mergeCell ref="N96:N97"/>
    <mergeCell ref="P3:U4"/>
    <mergeCell ref="P2:Q2"/>
    <mergeCell ref="A100:N100"/>
    <mergeCell ref="A110:N110"/>
    <mergeCell ref="A120:N120"/>
    <mergeCell ref="A49:A50"/>
    <mergeCell ref="B49:M49"/>
    <mergeCell ref="N49:N50"/>
    <mergeCell ref="A16:N16"/>
    <mergeCell ref="A26:N26"/>
    <mergeCell ref="A36:N36"/>
    <mergeCell ref="A48:N48"/>
    <mergeCell ref="P6:U1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V29"/>
  <sheetViews>
    <sheetView workbookViewId="0">
      <selection activeCell="Q10" sqref="Q10"/>
    </sheetView>
  </sheetViews>
  <sheetFormatPr defaultColWidth="8.88671875" defaultRowHeight="14.4" x14ac:dyDescent="0.3"/>
  <cols>
    <col min="1" max="1" width="25" style="225" customWidth="1"/>
    <col min="2" max="13" width="6.6640625" style="225" customWidth="1"/>
    <col min="14" max="16384" width="8.88671875" style="225"/>
  </cols>
  <sheetData>
    <row r="1" spans="1:22" ht="15" thickBot="1" x14ac:dyDescent="0.35">
      <c r="A1" s="500" t="s">
        <v>227</v>
      </c>
      <c r="B1" s="500"/>
      <c r="C1" s="500"/>
      <c r="D1" s="500"/>
      <c r="E1" s="500"/>
      <c r="F1" s="500"/>
      <c r="G1" s="500"/>
      <c r="H1" s="500"/>
      <c r="I1" s="500"/>
      <c r="J1" s="500"/>
      <c r="K1" s="500"/>
      <c r="L1" s="500"/>
      <c r="M1" s="500"/>
      <c r="N1" s="500"/>
    </row>
    <row r="2" spans="1:22" ht="14.4" customHeight="1" x14ac:dyDescent="0.3">
      <c r="A2" s="487" t="s">
        <v>32</v>
      </c>
      <c r="B2" s="489" t="s">
        <v>33</v>
      </c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1"/>
      <c r="N2" s="492" t="s">
        <v>209</v>
      </c>
      <c r="Q2" s="481" t="s">
        <v>127</v>
      </c>
      <c r="R2" s="481"/>
      <c r="S2" s="426"/>
      <c r="T2" s="426"/>
      <c r="U2" s="426"/>
      <c r="V2" s="426"/>
    </row>
    <row r="3" spans="1:22" ht="15" customHeight="1" thickBot="1" x14ac:dyDescent="0.35">
      <c r="A3" s="488"/>
      <c r="B3" s="249" t="s">
        <v>34</v>
      </c>
      <c r="C3" s="266" t="s">
        <v>35</v>
      </c>
      <c r="D3" s="266" t="s">
        <v>36</v>
      </c>
      <c r="E3" s="266" t="s">
        <v>37</v>
      </c>
      <c r="F3" s="266" t="s">
        <v>38</v>
      </c>
      <c r="G3" s="266" t="s">
        <v>39</v>
      </c>
      <c r="H3" s="266" t="s">
        <v>40</v>
      </c>
      <c r="I3" s="266" t="s">
        <v>41</v>
      </c>
      <c r="J3" s="266" t="s">
        <v>42</v>
      </c>
      <c r="K3" s="266" t="s">
        <v>43</v>
      </c>
      <c r="L3" s="266" t="s">
        <v>44</v>
      </c>
      <c r="M3" s="266" t="s">
        <v>45</v>
      </c>
      <c r="N3" s="493"/>
      <c r="Q3" s="499" t="s">
        <v>386</v>
      </c>
      <c r="R3" s="499"/>
      <c r="S3" s="499"/>
      <c r="T3" s="499"/>
      <c r="U3" s="499"/>
      <c r="V3" s="499"/>
    </row>
    <row r="4" spans="1:22" x14ac:dyDescent="0.3">
      <c r="A4" s="164" t="s">
        <v>217</v>
      </c>
      <c r="B4" s="358">
        <f>'Збір молока по селах'!B4</f>
        <v>20</v>
      </c>
      <c r="C4" s="358">
        <f>'Збір молока по селах'!C4</f>
        <v>20</v>
      </c>
      <c r="D4" s="358">
        <f>'Збір молока по селах'!D4</f>
        <v>22</v>
      </c>
      <c r="E4" s="358">
        <f>'Збір молока по селах'!E4</f>
        <v>21</v>
      </c>
      <c r="F4" s="358">
        <f>'Збір молока по селах'!F4</f>
        <v>22</v>
      </c>
      <c r="G4" s="358">
        <f>'Збір молока по селах'!G4</f>
        <v>21</v>
      </c>
      <c r="H4" s="358">
        <f>'Збір молока по селах'!H4</f>
        <v>22</v>
      </c>
      <c r="I4" s="358">
        <f>'Збір молока по селах'!I4</f>
        <v>22</v>
      </c>
      <c r="J4" s="358">
        <f>'Збір молока по селах'!J4</f>
        <v>21</v>
      </c>
      <c r="K4" s="358">
        <f>'Збір молока по селах'!K4</f>
        <v>21</v>
      </c>
      <c r="L4" s="358">
        <f>'Збір молока по селах'!L4</f>
        <v>20</v>
      </c>
      <c r="M4" s="358">
        <f>'Збір молока по селах'!M4</f>
        <v>20</v>
      </c>
      <c r="N4" s="393">
        <f>SUM(B4:M4)</f>
        <v>252</v>
      </c>
      <c r="Q4" s="499"/>
      <c r="R4" s="499"/>
      <c r="S4" s="499"/>
      <c r="T4" s="499"/>
      <c r="U4" s="499"/>
      <c r="V4" s="499"/>
    </row>
    <row r="5" spans="1:22" x14ac:dyDescent="0.3">
      <c r="A5" s="145" t="s">
        <v>219</v>
      </c>
      <c r="B5" s="394">
        <f>'План вступу в члени'!B13</f>
        <v>20</v>
      </c>
      <c r="C5" s="394">
        <f>'План вступу в члени'!C13</f>
        <v>23</v>
      </c>
      <c r="D5" s="394">
        <f>'План вступу в члени'!D13</f>
        <v>26</v>
      </c>
      <c r="E5" s="394">
        <f>'План вступу в члени'!E13</f>
        <v>36</v>
      </c>
      <c r="F5" s="394">
        <f>'План вступу в члени'!F13</f>
        <v>46</v>
      </c>
      <c r="G5" s="394">
        <f>'План вступу в члени'!G13</f>
        <v>56</v>
      </c>
      <c r="H5" s="394">
        <f>'План вступу в члени'!H13</f>
        <v>66</v>
      </c>
      <c r="I5" s="394">
        <f>'План вступу в члени'!I13</f>
        <v>71</v>
      </c>
      <c r="J5" s="394">
        <f>'План вступу в члени'!J13</f>
        <v>81</v>
      </c>
      <c r="K5" s="394">
        <f>'План вступу в члени'!K13</f>
        <v>86</v>
      </c>
      <c r="L5" s="394">
        <f>'План вступу в члени'!L13</f>
        <v>91</v>
      </c>
      <c r="M5" s="394">
        <f>'План вступу в члени'!M13</f>
        <v>96</v>
      </c>
      <c r="N5" s="395">
        <f>M5</f>
        <v>96</v>
      </c>
      <c r="Q5" s="499"/>
      <c r="R5" s="499"/>
      <c r="S5" s="499"/>
      <c r="T5" s="499"/>
      <c r="U5" s="499"/>
      <c r="V5" s="499"/>
    </row>
    <row r="6" spans="1:22" ht="23.4" thickBot="1" x14ac:dyDescent="0.35">
      <c r="A6" s="307" t="s">
        <v>218</v>
      </c>
      <c r="B6" s="396">
        <f>'Збір молока по селах'!B5</f>
        <v>9</v>
      </c>
      <c r="C6" s="396">
        <f>'Збір молока по селах'!C5</f>
        <v>10</v>
      </c>
      <c r="D6" s="396">
        <f>'Збір молока по селах'!D5</f>
        <v>13</v>
      </c>
      <c r="E6" s="396">
        <f>'Збір молока по селах'!E5</f>
        <v>14</v>
      </c>
      <c r="F6" s="396">
        <f>'Збір молока по селах'!F5</f>
        <v>15</v>
      </c>
      <c r="G6" s="396">
        <f>'Збір молока по селах'!G5</f>
        <v>16</v>
      </c>
      <c r="H6" s="396">
        <f>'Збір молока по селах'!H5</f>
        <v>16</v>
      </c>
      <c r="I6" s="396">
        <f>'Збір молока по селах'!I5</f>
        <v>15</v>
      </c>
      <c r="J6" s="396">
        <f>'Збір молока по селах'!J5</f>
        <v>14</v>
      </c>
      <c r="K6" s="396">
        <f>'Збір молока по селах'!K5</f>
        <v>12</v>
      </c>
      <c r="L6" s="396">
        <f>'Збір молока по селах'!L5</f>
        <v>10</v>
      </c>
      <c r="M6" s="396">
        <f>'Збір молока по селах'!M5</f>
        <v>9</v>
      </c>
      <c r="N6" s="397">
        <f>N7/(N4*370)</f>
        <v>2.0146289146289144E-3</v>
      </c>
    </row>
    <row r="7" spans="1:22" x14ac:dyDescent="0.3">
      <c r="A7" s="145" t="s">
        <v>225</v>
      </c>
      <c r="B7" s="398">
        <f t="shared" ref="B7:M7" si="0">B6*B5*B4/1000</f>
        <v>3.6</v>
      </c>
      <c r="C7" s="398">
        <f t="shared" si="0"/>
        <v>4.5999999999999996</v>
      </c>
      <c r="D7" s="398">
        <f t="shared" si="0"/>
        <v>7.4359999999999999</v>
      </c>
      <c r="E7" s="398">
        <f t="shared" si="0"/>
        <v>10.584</v>
      </c>
      <c r="F7" s="398">
        <f t="shared" si="0"/>
        <v>15.18</v>
      </c>
      <c r="G7" s="398">
        <f t="shared" si="0"/>
        <v>18.815999999999999</v>
      </c>
      <c r="H7" s="398">
        <f t="shared" si="0"/>
        <v>23.231999999999999</v>
      </c>
      <c r="I7" s="398">
        <f t="shared" si="0"/>
        <v>23.43</v>
      </c>
      <c r="J7" s="398">
        <f t="shared" si="0"/>
        <v>23.814</v>
      </c>
      <c r="K7" s="398">
        <f t="shared" si="0"/>
        <v>21.672000000000001</v>
      </c>
      <c r="L7" s="398">
        <f t="shared" si="0"/>
        <v>18.2</v>
      </c>
      <c r="M7" s="398">
        <f t="shared" si="0"/>
        <v>17.28</v>
      </c>
      <c r="N7" s="399">
        <f>SUM(B7:M7)</f>
        <v>187.84399999999997</v>
      </c>
      <c r="Q7" s="494" t="s">
        <v>389</v>
      </c>
      <c r="R7" s="501"/>
      <c r="S7" s="501"/>
      <c r="T7" s="501"/>
      <c r="U7" s="501"/>
      <c r="V7" s="501"/>
    </row>
    <row r="8" spans="1:22" ht="22.8" x14ac:dyDescent="0.3">
      <c r="A8" s="400" t="s">
        <v>222</v>
      </c>
      <c r="B8" s="398">
        <f t="shared" ref="B8:M8" si="1">B7*0.2</f>
        <v>0.72000000000000008</v>
      </c>
      <c r="C8" s="398">
        <f t="shared" si="1"/>
        <v>0.91999999999999993</v>
      </c>
      <c r="D8" s="398">
        <f t="shared" si="1"/>
        <v>1.4872000000000001</v>
      </c>
      <c r="E8" s="398">
        <f t="shared" si="1"/>
        <v>2.1168</v>
      </c>
      <c r="F8" s="398">
        <f t="shared" si="1"/>
        <v>3.036</v>
      </c>
      <c r="G8" s="398">
        <f t="shared" si="1"/>
        <v>3.7631999999999999</v>
      </c>
      <c r="H8" s="398">
        <f t="shared" si="1"/>
        <v>4.6463999999999999</v>
      </c>
      <c r="I8" s="398">
        <f t="shared" si="1"/>
        <v>4.6859999999999999</v>
      </c>
      <c r="J8" s="398">
        <f t="shared" si="1"/>
        <v>4.7628000000000004</v>
      </c>
      <c r="K8" s="398">
        <f t="shared" si="1"/>
        <v>4.3344000000000005</v>
      </c>
      <c r="L8" s="398">
        <f t="shared" si="1"/>
        <v>3.64</v>
      </c>
      <c r="M8" s="398">
        <f t="shared" si="1"/>
        <v>3.4560000000000004</v>
      </c>
      <c r="N8" s="399">
        <f t="shared" ref="N8:N9" si="2">SUM(B8:M8)</f>
        <v>37.568800000000003</v>
      </c>
      <c r="Q8" s="501"/>
      <c r="R8" s="501"/>
      <c r="S8" s="501"/>
      <c r="T8" s="501"/>
      <c r="U8" s="501"/>
      <c r="V8" s="501"/>
    </row>
    <row r="9" spans="1:22" ht="23.4" thickBot="1" x14ac:dyDescent="0.35">
      <c r="A9" s="401" t="s">
        <v>223</v>
      </c>
      <c r="B9" s="402">
        <f t="shared" ref="B9:M9" si="3">B7-B8</f>
        <v>2.88</v>
      </c>
      <c r="C9" s="402">
        <f t="shared" si="3"/>
        <v>3.6799999999999997</v>
      </c>
      <c r="D9" s="402">
        <f t="shared" si="3"/>
        <v>5.9488000000000003</v>
      </c>
      <c r="E9" s="402">
        <f t="shared" si="3"/>
        <v>8.4672000000000001</v>
      </c>
      <c r="F9" s="402">
        <f t="shared" si="3"/>
        <v>12.144</v>
      </c>
      <c r="G9" s="402">
        <f t="shared" si="3"/>
        <v>15.0528</v>
      </c>
      <c r="H9" s="402">
        <f t="shared" si="3"/>
        <v>18.585599999999999</v>
      </c>
      <c r="I9" s="402">
        <f t="shared" si="3"/>
        <v>18.744</v>
      </c>
      <c r="J9" s="402">
        <f t="shared" si="3"/>
        <v>19.051200000000001</v>
      </c>
      <c r="K9" s="402">
        <f t="shared" si="3"/>
        <v>17.337600000000002</v>
      </c>
      <c r="L9" s="402">
        <f t="shared" si="3"/>
        <v>14.559999999999999</v>
      </c>
      <c r="M9" s="402">
        <f t="shared" si="3"/>
        <v>13.824000000000002</v>
      </c>
      <c r="N9" s="403">
        <f t="shared" si="2"/>
        <v>150.27520000000001</v>
      </c>
      <c r="Q9" s="501"/>
      <c r="R9" s="501"/>
      <c r="S9" s="501"/>
      <c r="T9" s="501"/>
      <c r="U9" s="501"/>
      <c r="V9" s="501"/>
    </row>
    <row r="11" spans="1:22" ht="15" thickBot="1" x14ac:dyDescent="0.35">
      <c r="A11" s="500" t="s">
        <v>227</v>
      </c>
      <c r="B11" s="500"/>
      <c r="C11" s="500"/>
      <c r="D11" s="500"/>
      <c r="E11" s="500"/>
      <c r="F11" s="500"/>
      <c r="G11" s="500"/>
      <c r="H11" s="500"/>
      <c r="I11" s="500"/>
      <c r="J11" s="500"/>
      <c r="K11" s="500"/>
      <c r="L11" s="500"/>
      <c r="M11" s="500"/>
      <c r="N11" s="500"/>
    </row>
    <row r="12" spans="1:22" ht="14.4" customHeight="1" x14ac:dyDescent="0.3">
      <c r="A12" s="487" t="s">
        <v>32</v>
      </c>
      <c r="B12" s="489" t="s">
        <v>33</v>
      </c>
      <c r="C12" s="490"/>
      <c r="D12" s="490"/>
      <c r="E12" s="490"/>
      <c r="F12" s="490"/>
      <c r="G12" s="490"/>
      <c r="H12" s="490"/>
      <c r="I12" s="490"/>
      <c r="J12" s="490"/>
      <c r="K12" s="490"/>
      <c r="L12" s="490"/>
      <c r="M12" s="491"/>
      <c r="N12" s="492" t="s">
        <v>209</v>
      </c>
    </row>
    <row r="13" spans="1:22" ht="15" thickBot="1" x14ac:dyDescent="0.35">
      <c r="A13" s="488"/>
      <c r="B13" s="249" t="s">
        <v>34</v>
      </c>
      <c r="C13" s="266" t="s">
        <v>35</v>
      </c>
      <c r="D13" s="266" t="s">
        <v>36</v>
      </c>
      <c r="E13" s="266" t="s">
        <v>37</v>
      </c>
      <c r="F13" s="266" t="s">
        <v>38</v>
      </c>
      <c r="G13" s="266" t="s">
        <v>39</v>
      </c>
      <c r="H13" s="266" t="s">
        <v>40</v>
      </c>
      <c r="I13" s="266" t="s">
        <v>41</v>
      </c>
      <c r="J13" s="266" t="s">
        <v>42</v>
      </c>
      <c r="K13" s="266" t="s">
        <v>43</v>
      </c>
      <c r="L13" s="266" t="s">
        <v>44</v>
      </c>
      <c r="M13" s="266" t="s">
        <v>45</v>
      </c>
      <c r="N13" s="493"/>
    </row>
    <row r="14" spans="1:22" x14ac:dyDescent="0.3">
      <c r="A14" s="164" t="s">
        <v>217</v>
      </c>
      <c r="B14" s="358">
        <f>'Збір молока по селах'!B51</f>
        <v>20</v>
      </c>
      <c r="C14" s="358">
        <f>'Збір молока по селах'!C51</f>
        <v>20</v>
      </c>
      <c r="D14" s="358">
        <f>'Збір молока по селах'!D51</f>
        <v>22</v>
      </c>
      <c r="E14" s="358">
        <f>'Збір молока по селах'!E51</f>
        <v>21</v>
      </c>
      <c r="F14" s="358">
        <f>'Збір молока по селах'!F51</f>
        <v>22</v>
      </c>
      <c r="G14" s="358">
        <f>'Збір молока по селах'!G51</f>
        <v>21</v>
      </c>
      <c r="H14" s="358">
        <f>'Збір молока по селах'!H51</f>
        <v>22</v>
      </c>
      <c r="I14" s="358">
        <f>'Збір молока по селах'!I51</f>
        <v>22</v>
      </c>
      <c r="J14" s="358">
        <f>'Збір молока по селах'!J51</f>
        <v>21</v>
      </c>
      <c r="K14" s="358">
        <f>'Збір молока по селах'!K51</f>
        <v>21</v>
      </c>
      <c r="L14" s="358">
        <f>'Збір молока по селах'!L51</f>
        <v>20</v>
      </c>
      <c r="M14" s="358">
        <f>'Збір молока по селах'!M51</f>
        <v>20</v>
      </c>
      <c r="N14" s="393">
        <f>SUM(B14:M14)</f>
        <v>252</v>
      </c>
    </row>
    <row r="15" spans="1:22" x14ac:dyDescent="0.3">
      <c r="A15" s="145" t="s">
        <v>219</v>
      </c>
      <c r="B15" s="394">
        <f>'План вступу в члени'!B28</f>
        <v>96</v>
      </c>
      <c r="C15" s="394">
        <f>'План вступу в члени'!C28</f>
        <v>103</v>
      </c>
      <c r="D15" s="394">
        <f>'План вступу в члени'!D28</f>
        <v>108</v>
      </c>
      <c r="E15" s="394">
        <f>'План вступу в члени'!E28</f>
        <v>115</v>
      </c>
      <c r="F15" s="394">
        <f>'План вступу в члени'!F28</f>
        <v>115</v>
      </c>
      <c r="G15" s="394">
        <f>'План вступу в члени'!G28</f>
        <v>120</v>
      </c>
      <c r="H15" s="394">
        <f>'План вступу в члени'!H28</f>
        <v>120</v>
      </c>
      <c r="I15" s="394">
        <f>'План вступу в члени'!I28</f>
        <v>126</v>
      </c>
      <c r="J15" s="394">
        <f>'План вступу в члени'!J28</f>
        <v>131</v>
      </c>
      <c r="K15" s="394">
        <f>'План вступу в члени'!K28</f>
        <v>136</v>
      </c>
      <c r="L15" s="394">
        <f>'План вступу в члени'!L28</f>
        <v>144</v>
      </c>
      <c r="M15" s="394">
        <f>'План вступу в члени'!M28</f>
        <v>146</v>
      </c>
      <c r="N15" s="395">
        <f>M15</f>
        <v>146</v>
      </c>
    </row>
    <row r="16" spans="1:22" ht="23.4" thickBot="1" x14ac:dyDescent="0.35">
      <c r="A16" s="307" t="s">
        <v>218</v>
      </c>
      <c r="B16" s="396">
        <f>'Збір молока по селах'!B52</f>
        <v>10</v>
      </c>
      <c r="C16" s="396">
        <f>'Збір молока по селах'!C52</f>
        <v>11</v>
      </c>
      <c r="D16" s="396">
        <f>'Збір молока по селах'!D52</f>
        <v>14</v>
      </c>
      <c r="E16" s="396">
        <f>'Збір молока по селах'!E52</f>
        <v>15</v>
      </c>
      <c r="F16" s="396">
        <f>'Збір молока по селах'!F52</f>
        <v>16</v>
      </c>
      <c r="G16" s="396">
        <f>'Збір молока по селах'!G52</f>
        <v>16</v>
      </c>
      <c r="H16" s="396">
        <f>'Збір молока по селах'!H52</f>
        <v>16</v>
      </c>
      <c r="I16" s="396">
        <f>'Збір молока по селах'!I52</f>
        <v>16</v>
      </c>
      <c r="J16" s="396">
        <f>'Збір молока по селах'!J52</f>
        <v>15</v>
      </c>
      <c r="K16" s="396">
        <f>'Збір молока по селах'!K52</f>
        <v>12</v>
      </c>
      <c r="L16" s="396">
        <f>'Збір молока по селах'!L52</f>
        <v>12</v>
      </c>
      <c r="M16" s="396">
        <f>'Збір молока по селах'!M52</f>
        <v>10</v>
      </c>
      <c r="N16" s="397">
        <f>N17/(N14*370)</f>
        <v>4.4834620334620332E-3</v>
      </c>
    </row>
    <row r="17" spans="1:14" x14ac:dyDescent="0.3">
      <c r="A17" s="145" t="s">
        <v>229</v>
      </c>
      <c r="B17" s="398">
        <f>B16*B15*B14/1000</f>
        <v>19.2</v>
      </c>
      <c r="C17" s="398">
        <f t="shared" ref="C17:M17" si="4">C16*C15*C14/1000</f>
        <v>22.66</v>
      </c>
      <c r="D17" s="398">
        <f t="shared" si="4"/>
        <v>33.264000000000003</v>
      </c>
      <c r="E17" s="398">
        <f t="shared" si="4"/>
        <v>36.225000000000001</v>
      </c>
      <c r="F17" s="398">
        <f t="shared" si="4"/>
        <v>40.479999999999997</v>
      </c>
      <c r="G17" s="398">
        <f t="shared" si="4"/>
        <v>40.32</v>
      </c>
      <c r="H17" s="398">
        <f t="shared" si="4"/>
        <v>42.24</v>
      </c>
      <c r="I17" s="398">
        <f t="shared" si="4"/>
        <v>44.351999999999997</v>
      </c>
      <c r="J17" s="398">
        <f t="shared" si="4"/>
        <v>41.265000000000001</v>
      </c>
      <c r="K17" s="398">
        <f t="shared" si="4"/>
        <v>34.271999999999998</v>
      </c>
      <c r="L17" s="398">
        <f t="shared" si="4"/>
        <v>34.56</v>
      </c>
      <c r="M17" s="398">
        <f t="shared" si="4"/>
        <v>29.2</v>
      </c>
      <c r="N17" s="399">
        <f t="shared" ref="N17:N19" si="5">SUM(B17:M17)</f>
        <v>418.03799999999995</v>
      </c>
    </row>
    <row r="18" spans="1:14" ht="22.8" x14ac:dyDescent="0.3">
      <c r="A18" s="400" t="s">
        <v>222</v>
      </c>
      <c r="B18" s="398">
        <f>B17*0.2</f>
        <v>3.84</v>
      </c>
      <c r="C18" s="398">
        <f t="shared" ref="C18:M18" si="6">C17*0.2</f>
        <v>4.532</v>
      </c>
      <c r="D18" s="398">
        <f t="shared" si="6"/>
        <v>6.6528000000000009</v>
      </c>
      <c r="E18" s="398">
        <f t="shared" si="6"/>
        <v>7.245000000000001</v>
      </c>
      <c r="F18" s="398">
        <f t="shared" si="6"/>
        <v>8.0960000000000001</v>
      </c>
      <c r="G18" s="398">
        <f t="shared" si="6"/>
        <v>8.0640000000000001</v>
      </c>
      <c r="H18" s="398">
        <f t="shared" si="6"/>
        <v>8.4480000000000004</v>
      </c>
      <c r="I18" s="398">
        <f t="shared" si="6"/>
        <v>8.8704000000000001</v>
      </c>
      <c r="J18" s="398">
        <f t="shared" si="6"/>
        <v>8.2530000000000001</v>
      </c>
      <c r="K18" s="398">
        <f t="shared" si="6"/>
        <v>6.8544</v>
      </c>
      <c r="L18" s="398">
        <f t="shared" si="6"/>
        <v>6.9120000000000008</v>
      </c>
      <c r="M18" s="398">
        <f t="shared" si="6"/>
        <v>5.84</v>
      </c>
      <c r="N18" s="399">
        <f t="shared" si="5"/>
        <v>83.607600000000005</v>
      </c>
    </row>
    <row r="19" spans="1:14" ht="23.4" thickBot="1" x14ac:dyDescent="0.35">
      <c r="A19" s="401" t="s">
        <v>223</v>
      </c>
      <c r="B19" s="402">
        <f>B17-B18</f>
        <v>15.36</v>
      </c>
      <c r="C19" s="402">
        <f t="shared" ref="C19:M19" si="7">C17-C18</f>
        <v>18.128</v>
      </c>
      <c r="D19" s="402">
        <f t="shared" si="7"/>
        <v>26.611200000000004</v>
      </c>
      <c r="E19" s="402">
        <f t="shared" si="7"/>
        <v>28.98</v>
      </c>
      <c r="F19" s="402">
        <f t="shared" si="7"/>
        <v>32.384</v>
      </c>
      <c r="G19" s="402">
        <f t="shared" si="7"/>
        <v>32.256</v>
      </c>
      <c r="H19" s="402">
        <f t="shared" si="7"/>
        <v>33.792000000000002</v>
      </c>
      <c r="I19" s="402">
        <f t="shared" si="7"/>
        <v>35.4816</v>
      </c>
      <c r="J19" s="402">
        <f t="shared" si="7"/>
        <v>33.012</v>
      </c>
      <c r="K19" s="402">
        <f t="shared" si="7"/>
        <v>27.4176</v>
      </c>
      <c r="L19" s="402">
        <f t="shared" si="7"/>
        <v>27.648000000000003</v>
      </c>
      <c r="M19" s="402">
        <f t="shared" si="7"/>
        <v>23.36</v>
      </c>
      <c r="N19" s="403">
        <f t="shared" si="5"/>
        <v>334.43040000000002</v>
      </c>
    </row>
    <row r="21" spans="1:14" ht="15" thickBot="1" x14ac:dyDescent="0.35">
      <c r="A21" s="500" t="s">
        <v>227</v>
      </c>
      <c r="B21" s="500"/>
      <c r="C21" s="500"/>
      <c r="D21" s="500"/>
      <c r="E21" s="500"/>
      <c r="F21" s="500"/>
      <c r="G21" s="500"/>
      <c r="H21" s="500"/>
      <c r="I21" s="500"/>
      <c r="J21" s="500"/>
      <c r="K21" s="500"/>
      <c r="L21" s="500"/>
      <c r="M21" s="500"/>
      <c r="N21" s="500"/>
    </row>
    <row r="22" spans="1:14" ht="14.4" customHeight="1" x14ac:dyDescent="0.3">
      <c r="A22" s="487" t="s">
        <v>32</v>
      </c>
      <c r="B22" s="489" t="s">
        <v>33</v>
      </c>
      <c r="C22" s="490"/>
      <c r="D22" s="490"/>
      <c r="E22" s="490"/>
      <c r="F22" s="490"/>
      <c r="G22" s="490"/>
      <c r="H22" s="490"/>
      <c r="I22" s="490"/>
      <c r="J22" s="490"/>
      <c r="K22" s="490"/>
      <c r="L22" s="490"/>
      <c r="M22" s="491"/>
      <c r="N22" s="492" t="s">
        <v>209</v>
      </c>
    </row>
    <row r="23" spans="1:14" ht="15" thickBot="1" x14ac:dyDescent="0.35">
      <c r="A23" s="488"/>
      <c r="B23" s="249" t="s">
        <v>34</v>
      </c>
      <c r="C23" s="266" t="s">
        <v>35</v>
      </c>
      <c r="D23" s="266" t="s">
        <v>36</v>
      </c>
      <c r="E23" s="266" t="s">
        <v>37</v>
      </c>
      <c r="F23" s="266" t="s">
        <v>38</v>
      </c>
      <c r="G23" s="266" t="s">
        <v>39</v>
      </c>
      <c r="H23" s="266" t="s">
        <v>40</v>
      </c>
      <c r="I23" s="266" t="s">
        <v>41</v>
      </c>
      <c r="J23" s="266" t="s">
        <v>42</v>
      </c>
      <c r="K23" s="266" t="s">
        <v>43</v>
      </c>
      <c r="L23" s="266" t="s">
        <v>44</v>
      </c>
      <c r="M23" s="266" t="s">
        <v>45</v>
      </c>
      <c r="N23" s="493"/>
    </row>
    <row r="24" spans="1:14" x14ac:dyDescent="0.3">
      <c r="A24" s="164" t="s">
        <v>217</v>
      </c>
      <c r="B24" s="358">
        <f>'Збір молока по селах'!B98</f>
        <v>20</v>
      </c>
      <c r="C24" s="358">
        <f>'Збір молока по селах'!C98</f>
        <v>20</v>
      </c>
      <c r="D24" s="358">
        <f>'Збір молока по селах'!D98</f>
        <v>22</v>
      </c>
      <c r="E24" s="358">
        <f>'Збір молока по селах'!E98</f>
        <v>21</v>
      </c>
      <c r="F24" s="358">
        <f>'Збір молока по селах'!F98</f>
        <v>22</v>
      </c>
      <c r="G24" s="358">
        <f>'Збір молока по селах'!G98</f>
        <v>21</v>
      </c>
      <c r="H24" s="358">
        <f>'Збір молока по селах'!H98</f>
        <v>22</v>
      </c>
      <c r="I24" s="358">
        <f>'Збір молока по селах'!I98</f>
        <v>22</v>
      </c>
      <c r="J24" s="358">
        <f>'Збір молока по селах'!J98</f>
        <v>21</v>
      </c>
      <c r="K24" s="358">
        <f>'Збір молока по селах'!K98</f>
        <v>21</v>
      </c>
      <c r="L24" s="358">
        <f>'Збір молока по селах'!L98</f>
        <v>20</v>
      </c>
      <c r="M24" s="358">
        <f>'Збір молока по селах'!M98</f>
        <v>20</v>
      </c>
      <c r="N24" s="393">
        <f>SUM(B24:M24)</f>
        <v>252</v>
      </c>
    </row>
    <row r="25" spans="1:14" x14ac:dyDescent="0.3">
      <c r="A25" s="145" t="s">
        <v>219</v>
      </c>
      <c r="B25" s="394">
        <f>'План вступу в члени'!B43</f>
        <v>146</v>
      </c>
      <c r="C25" s="394">
        <f>'План вступу в члени'!C43</f>
        <v>151</v>
      </c>
      <c r="D25" s="394">
        <f>'План вступу в члени'!D43</f>
        <v>157</v>
      </c>
      <c r="E25" s="394">
        <f>'План вступу в члени'!E43</f>
        <v>161</v>
      </c>
      <c r="F25" s="394">
        <f>'План вступу в члени'!F43</f>
        <v>166</v>
      </c>
      <c r="G25" s="394">
        <f>'План вступу в члени'!G43</f>
        <v>166</v>
      </c>
      <c r="H25" s="394">
        <f>'План вступу в члени'!H43</f>
        <v>167</v>
      </c>
      <c r="I25" s="394">
        <f>'План вступу в члени'!I43</f>
        <v>167</v>
      </c>
      <c r="J25" s="394">
        <f>'План вступу в члени'!J43</f>
        <v>173</v>
      </c>
      <c r="K25" s="394">
        <f>'План вступу в члени'!K43</f>
        <v>178</v>
      </c>
      <c r="L25" s="394">
        <f>'План вступу в члени'!L43</f>
        <v>180</v>
      </c>
      <c r="M25" s="394">
        <f>'План вступу в члени'!M43</f>
        <v>182</v>
      </c>
      <c r="N25" s="395">
        <f>M25</f>
        <v>182</v>
      </c>
    </row>
    <row r="26" spans="1:14" ht="23.4" thickBot="1" x14ac:dyDescent="0.35">
      <c r="A26" s="307" t="s">
        <v>218</v>
      </c>
      <c r="B26" s="396">
        <f>'Збір молока по селах'!B99</f>
        <v>10</v>
      </c>
      <c r="C26" s="396">
        <f>'Збір молока по селах'!C99</f>
        <v>12</v>
      </c>
      <c r="D26" s="396">
        <f>'Збір молока по селах'!D99</f>
        <v>14</v>
      </c>
      <c r="E26" s="396">
        <f>'Збір молока по селах'!E99</f>
        <v>15</v>
      </c>
      <c r="F26" s="396">
        <f>'Збір молока по селах'!F99</f>
        <v>16</v>
      </c>
      <c r="G26" s="396">
        <f>'Збір молока по селах'!G99</f>
        <v>17</v>
      </c>
      <c r="H26" s="396">
        <f>'Збір молока по селах'!H99</f>
        <v>17</v>
      </c>
      <c r="I26" s="396">
        <f>'Збір молока по селах'!I99</f>
        <v>17</v>
      </c>
      <c r="J26" s="396">
        <f>'Збір молока по селах'!J99</f>
        <v>16</v>
      </c>
      <c r="K26" s="396">
        <f>'Збір молока по селах'!K99</f>
        <v>15</v>
      </c>
      <c r="L26" s="396">
        <f>'Збір молока по селах'!L99</f>
        <v>12</v>
      </c>
      <c r="M26" s="396">
        <f>'Збір молока по селах'!M99</f>
        <v>10</v>
      </c>
      <c r="N26" s="397">
        <f>N27/(N24*370)</f>
        <v>6.4448627198627198E-3</v>
      </c>
    </row>
    <row r="27" spans="1:14" x14ac:dyDescent="0.3">
      <c r="A27" s="145" t="s">
        <v>229</v>
      </c>
      <c r="B27" s="398">
        <f>B26*B25*B24/1000</f>
        <v>29.2</v>
      </c>
      <c r="C27" s="398">
        <f t="shared" ref="C27:M27" si="8">C26*C25*C24/1000</f>
        <v>36.24</v>
      </c>
      <c r="D27" s="398">
        <f t="shared" si="8"/>
        <v>48.356000000000002</v>
      </c>
      <c r="E27" s="398">
        <f t="shared" si="8"/>
        <v>50.715000000000003</v>
      </c>
      <c r="F27" s="398">
        <f t="shared" si="8"/>
        <v>58.432000000000002</v>
      </c>
      <c r="G27" s="398">
        <f t="shared" si="8"/>
        <v>59.262</v>
      </c>
      <c r="H27" s="398">
        <f t="shared" si="8"/>
        <v>62.457999999999998</v>
      </c>
      <c r="I27" s="398">
        <f t="shared" si="8"/>
        <v>62.457999999999998</v>
      </c>
      <c r="J27" s="398">
        <f t="shared" si="8"/>
        <v>58.128</v>
      </c>
      <c r="K27" s="398">
        <f t="shared" si="8"/>
        <v>56.07</v>
      </c>
      <c r="L27" s="398">
        <f t="shared" si="8"/>
        <v>43.2</v>
      </c>
      <c r="M27" s="398">
        <f t="shared" si="8"/>
        <v>36.4</v>
      </c>
      <c r="N27" s="399">
        <f t="shared" ref="N27:N29" si="9">SUM(B27:M27)</f>
        <v>600.91899999999998</v>
      </c>
    </row>
    <row r="28" spans="1:14" ht="22.8" x14ac:dyDescent="0.3">
      <c r="A28" s="400" t="s">
        <v>222</v>
      </c>
      <c r="B28" s="398">
        <f>B27*0.2</f>
        <v>5.84</v>
      </c>
      <c r="C28" s="398">
        <f t="shared" ref="C28:M28" si="10">C27*0.2</f>
        <v>7.2480000000000011</v>
      </c>
      <c r="D28" s="398">
        <f t="shared" si="10"/>
        <v>9.6712000000000007</v>
      </c>
      <c r="E28" s="398">
        <f t="shared" si="10"/>
        <v>10.143000000000001</v>
      </c>
      <c r="F28" s="398">
        <f t="shared" si="10"/>
        <v>11.686400000000001</v>
      </c>
      <c r="G28" s="398">
        <f t="shared" si="10"/>
        <v>11.852400000000001</v>
      </c>
      <c r="H28" s="398">
        <f t="shared" si="10"/>
        <v>12.4916</v>
      </c>
      <c r="I28" s="398">
        <f t="shared" si="10"/>
        <v>12.4916</v>
      </c>
      <c r="J28" s="398">
        <f t="shared" si="10"/>
        <v>11.6256</v>
      </c>
      <c r="K28" s="398">
        <f t="shared" si="10"/>
        <v>11.214</v>
      </c>
      <c r="L28" s="398">
        <f t="shared" si="10"/>
        <v>8.64</v>
      </c>
      <c r="M28" s="398">
        <f t="shared" si="10"/>
        <v>7.28</v>
      </c>
      <c r="N28" s="399">
        <f t="shared" si="9"/>
        <v>120.18380000000002</v>
      </c>
    </row>
    <row r="29" spans="1:14" ht="23.4" thickBot="1" x14ac:dyDescent="0.35">
      <c r="A29" s="401" t="s">
        <v>223</v>
      </c>
      <c r="B29" s="402">
        <f>B27-B28</f>
        <v>23.36</v>
      </c>
      <c r="C29" s="402">
        <f t="shared" ref="C29:M29" si="11">C27-C28</f>
        <v>28.992000000000001</v>
      </c>
      <c r="D29" s="402">
        <f t="shared" si="11"/>
        <v>38.684800000000003</v>
      </c>
      <c r="E29" s="402">
        <f t="shared" si="11"/>
        <v>40.572000000000003</v>
      </c>
      <c r="F29" s="402">
        <f t="shared" si="11"/>
        <v>46.745600000000003</v>
      </c>
      <c r="G29" s="402">
        <f t="shared" si="11"/>
        <v>47.409599999999998</v>
      </c>
      <c r="H29" s="402">
        <f t="shared" si="11"/>
        <v>49.9664</v>
      </c>
      <c r="I29" s="402">
        <f t="shared" si="11"/>
        <v>49.9664</v>
      </c>
      <c r="J29" s="402">
        <f t="shared" si="11"/>
        <v>46.502400000000002</v>
      </c>
      <c r="K29" s="402">
        <f t="shared" si="11"/>
        <v>44.856000000000002</v>
      </c>
      <c r="L29" s="402">
        <f t="shared" si="11"/>
        <v>34.56</v>
      </c>
      <c r="M29" s="402">
        <f t="shared" si="11"/>
        <v>29.119999999999997</v>
      </c>
      <c r="N29" s="403">
        <f t="shared" si="9"/>
        <v>480.73520000000008</v>
      </c>
    </row>
  </sheetData>
  <sheetProtection algorithmName="SHA-512" hashValue="kHcqRvakGzPyb5NbVXrb3OR8s7CtYD7bzDS0w8FXymm9svoD3rduIe8AW+S54G8VsPICLGHtZKy+6Bb9TeNuyw==" saltValue="05duZ71SjMhUGyWskTgK8w==" spinCount="100000" sheet="1" objects="1" scenarios="1"/>
  <mergeCells count="15">
    <mergeCell ref="Q7:V9"/>
    <mergeCell ref="A22:A23"/>
    <mergeCell ref="B22:M22"/>
    <mergeCell ref="N22:N23"/>
    <mergeCell ref="A11:N11"/>
    <mergeCell ref="A12:A13"/>
    <mergeCell ref="B12:M12"/>
    <mergeCell ref="N12:N13"/>
    <mergeCell ref="A21:N21"/>
    <mergeCell ref="Q2:R2"/>
    <mergeCell ref="Q3:V5"/>
    <mergeCell ref="A1:N1"/>
    <mergeCell ref="A2:A3"/>
    <mergeCell ref="B2:M2"/>
    <mergeCell ref="N2:N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V52"/>
  <sheetViews>
    <sheetView workbookViewId="0">
      <selection activeCell="Q18" sqref="Q18"/>
    </sheetView>
  </sheetViews>
  <sheetFormatPr defaultColWidth="9.109375" defaultRowHeight="14.4" x14ac:dyDescent="0.3"/>
  <cols>
    <col min="1" max="1" width="22.33203125" style="251" customWidth="1"/>
    <col min="2" max="13" width="8.6640625" style="251" customWidth="1"/>
    <col min="14" max="16384" width="9.109375" style="251"/>
  </cols>
  <sheetData>
    <row r="1" spans="1:22" ht="15" thickBot="1" x14ac:dyDescent="0.35">
      <c r="A1" s="486" t="s">
        <v>230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</row>
    <row r="2" spans="1:22" x14ac:dyDescent="0.3">
      <c r="A2" s="487" t="s">
        <v>32</v>
      </c>
      <c r="B2" s="489" t="s">
        <v>33</v>
      </c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1"/>
      <c r="N2" s="492" t="s">
        <v>209</v>
      </c>
      <c r="Q2" s="481" t="s">
        <v>127</v>
      </c>
      <c r="R2" s="481"/>
      <c r="S2" s="426"/>
      <c r="T2" s="426"/>
      <c r="U2" s="426"/>
      <c r="V2" s="426"/>
    </row>
    <row r="3" spans="1:22" ht="15" thickBot="1" x14ac:dyDescent="0.35">
      <c r="A3" s="488"/>
      <c r="B3" s="249" t="s">
        <v>34</v>
      </c>
      <c r="C3" s="266" t="s">
        <v>35</v>
      </c>
      <c r="D3" s="266" t="s">
        <v>36</v>
      </c>
      <c r="E3" s="266" t="s">
        <v>37</v>
      </c>
      <c r="F3" s="266" t="s">
        <v>38</v>
      </c>
      <c r="G3" s="266" t="s">
        <v>39</v>
      </c>
      <c r="H3" s="266" t="s">
        <v>40</v>
      </c>
      <c r="I3" s="266" t="s">
        <v>41</v>
      </c>
      <c r="J3" s="266" t="s">
        <v>42</v>
      </c>
      <c r="K3" s="266" t="s">
        <v>43</v>
      </c>
      <c r="L3" s="266" t="s">
        <v>44</v>
      </c>
      <c r="M3" s="266" t="s">
        <v>45</v>
      </c>
      <c r="N3" s="493"/>
      <c r="Q3" s="481" t="s">
        <v>231</v>
      </c>
      <c r="R3" s="481"/>
      <c r="S3" s="481"/>
      <c r="T3" s="481"/>
      <c r="U3" s="481"/>
      <c r="V3" s="481"/>
    </row>
    <row r="4" spans="1:22" s="252" customFormat="1" ht="24.6" thickBot="1" x14ac:dyDescent="0.35">
      <c r="A4" s="385" t="s">
        <v>232</v>
      </c>
      <c r="B4" s="386">
        <f>'Збір молока'!B9</f>
        <v>2.88</v>
      </c>
      <c r="C4" s="386">
        <f>'Збір молока'!C9</f>
        <v>3.6799999999999997</v>
      </c>
      <c r="D4" s="386">
        <f>'Збір молока'!D9</f>
        <v>5.9488000000000003</v>
      </c>
      <c r="E4" s="386">
        <f>'Збір молока'!E9</f>
        <v>8.4672000000000001</v>
      </c>
      <c r="F4" s="386">
        <f>'Збір молока'!F9</f>
        <v>12.144</v>
      </c>
      <c r="G4" s="386">
        <f>'Збір молока'!G9</f>
        <v>15.0528</v>
      </c>
      <c r="H4" s="386">
        <f>'Збір молока'!H9</f>
        <v>18.585599999999999</v>
      </c>
      <c r="I4" s="386">
        <f>'Збір молока'!I9</f>
        <v>18.744</v>
      </c>
      <c r="J4" s="386">
        <f>'Збір молока'!J9</f>
        <v>19.051200000000001</v>
      </c>
      <c r="K4" s="386">
        <f>'Збір молока'!K9</f>
        <v>17.337600000000002</v>
      </c>
      <c r="L4" s="386">
        <f>'Збір молока'!L9</f>
        <v>14.559999999999999</v>
      </c>
      <c r="M4" s="386">
        <f>'Збір молока'!M9</f>
        <v>13.824000000000002</v>
      </c>
      <c r="N4" s="387">
        <f>SUM(B4:M4)</f>
        <v>150.27520000000001</v>
      </c>
      <c r="Q4" s="481"/>
      <c r="R4" s="481"/>
      <c r="S4" s="481"/>
      <c r="T4" s="481"/>
      <c r="U4" s="481"/>
      <c r="V4" s="481"/>
    </row>
    <row r="5" spans="1:22" x14ac:dyDescent="0.3">
      <c r="A5" s="164" t="s">
        <v>233</v>
      </c>
      <c r="B5" s="379">
        <f>Довідник!B$54*'Виробничий план'!B$4/100</f>
        <v>0.28799999999999998</v>
      </c>
      <c r="C5" s="379">
        <f>Довідник!C$54*'Виробничий план'!C$4/100</f>
        <v>0.36799999999999999</v>
      </c>
      <c r="D5" s="379">
        <f>Довідник!D$54*'Виробничий план'!D$4/100</f>
        <v>0.59487999999999996</v>
      </c>
      <c r="E5" s="379">
        <f>Довідник!E$54*'Виробничий план'!E$4/100</f>
        <v>0.84671999999999992</v>
      </c>
      <c r="F5" s="379">
        <f>Довідник!F$54*'Виробничий план'!F$4/100</f>
        <v>1.2143999999999999</v>
      </c>
      <c r="G5" s="379">
        <f>Довідник!G$54*'Виробничий план'!G$4/100</f>
        <v>1.50528</v>
      </c>
      <c r="H5" s="379">
        <f>Довідник!H$54*'Виробничий план'!H$4/100</f>
        <v>1.85856</v>
      </c>
      <c r="I5" s="379">
        <f>Довідник!I$54*'Виробничий план'!I$4/100</f>
        <v>1.8744000000000001</v>
      </c>
      <c r="J5" s="379">
        <f>Довідник!J$54*'Виробничий план'!J$4/100</f>
        <v>1.9051199999999999</v>
      </c>
      <c r="K5" s="379">
        <f>Довідник!K$54*'Виробничий план'!K$4/100</f>
        <v>1.7337600000000004</v>
      </c>
      <c r="L5" s="379">
        <f>Довідник!L$54*'Виробничий план'!L$4/100</f>
        <v>1.456</v>
      </c>
      <c r="M5" s="379">
        <f>Довідник!M$54*'Виробничий план'!M$4/100</f>
        <v>1.3824000000000001</v>
      </c>
      <c r="N5" s="388">
        <f t="shared" ref="N5:N16" si="0">SUM(B5:M5)</f>
        <v>15.027520000000001</v>
      </c>
      <c r="Q5" s="481"/>
      <c r="R5" s="481"/>
      <c r="S5" s="481"/>
      <c r="T5" s="481"/>
      <c r="U5" s="481"/>
      <c r="V5" s="481"/>
    </row>
    <row r="6" spans="1:22" s="252" customFormat="1" ht="15" thickBot="1" x14ac:dyDescent="0.35">
      <c r="A6" s="389" t="str">
        <f>Довідник!A54</f>
        <v>Молоко питне</v>
      </c>
      <c r="B6" s="390">
        <f>B$5/Довідник!$B$68</f>
        <v>0.28799999999999998</v>
      </c>
      <c r="C6" s="390">
        <f>C$5/Довідник!$B$68</f>
        <v>0.36799999999999999</v>
      </c>
      <c r="D6" s="390">
        <f>D$5/Довідник!$B$68</f>
        <v>0.59487999999999996</v>
      </c>
      <c r="E6" s="390">
        <f>E$5/Довідник!$B$68</f>
        <v>0.84671999999999992</v>
      </c>
      <c r="F6" s="390">
        <f>F$5/Довідник!$B$68</f>
        <v>1.2143999999999999</v>
      </c>
      <c r="G6" s="390">
        <f>G$5/Довідник!$B$68</f>
        <v>1.50528</v>
      </c>
      <c r="H6" s="390">
        <f>H$5/Довідник!$B$68</f>
        <v>1.85856</v>
      </c>
      <c r="I6" s="390">
        <f>I$5/Довідник!$B$68</f>
        <v>1.8744000000000001</v>
      </c>
      <c r="J6" s="390">
        <f>J$5/Довідник!$B$68</f>
        <v>1.9051199999999999</v>
      </c>
      <c r="K6" s="390">
        <f>K$5/Довідник!$B$68</f>
        <v>1.7337600000000004</v>
      </c>
      <c r="L6" s="390">
        <f>L$5/Довідник!$B$68</f>
        <v>1.456</v>
      </c>
      <c r="M6" s="390">
        <f>M$5/Довідник!$B$68</f>
        <v>1.3824000000000001</v>
      </c>
      <c r="N6" s="391">
        <f t="shared" si="0"/>
        <v>15.027520000000001</v>
      </c>
    </row>
    <row r="7" spans="1:22" ht="14.4" customHeight="1" x14ac:dyDescent="0.3">
      <c r="A7" s="164" t="s">
        <v>233</v>
      </c>
      <c r="B7" s="379">
        <f>Довідник!B$55*'Виробничий план'!B$4/100</f>
        <v>0.57599999999999996</v>
      </c>
      <c r="C7" s="379">
        <f>Довідник!C$55*'Виробничий план'!C$4/100</f>
        <v>0.73599999999999999</v>
      </c>
      <c r="D7" s="379">
        <f>Довідник!D$55*'Виробничий план'!D$4/100</f>
        <v>1.1897599999999999</v>
      </c>
      <c r="E7" s="379">
        <f>Довідник!E$55*'Виробничий план'!E$4/100</f>
        <v>1.6934399999999998</v>
      </c>
      <c r="F7" s="379">
        <f>Довідник!F$55*'Виробничий план'!F$4/100</f>
        <v>2.4287999999999998</v>
      </c>
      <c r="G7" s="379">
        <f>Довідник!G$55*'Виробничий план'!G$4/100</f>
        <v>3.0105599999999999</v>
      </c>
      <c r="H7" s="379">
        <f>Довідник!H$55*'Виробничий план'!H$4/100</f>
        <v>3.71712</v>
      </c>
      <c r="I7" s="379">
        <f>Довідник!I$55*'Виробничий план'!I$4/100</f>
        <v>3.7488000000000001</v>
      </c>
      <c r="J7" s="379">
        <f>Довідник!J$55*'Виробничий план'!J$4/100</f>
        <v>3.8102399999999998</v>
      </c>
      <c r="K7" s="379">
        <f>Довідник!K$55*'Виробничий план'!K$4/100</f>
        <v>3.4675200000000008</v>
      </c>
      <c r="L7" s="379">
        <f>Довідник!L$55*'Виробничий план'!L$4/100</f>
        <v>2.9119999999999999</v>
      </c>
      <c r="M7" s="379">
        <f>Довідник!M$55*'Виробничий план'!M$4/100</f>
        <v>2.7648000000000001</v>
      </c>
      <c r="N7" s="388">
        <f t="shared" si="0"/>
        <v>30.055040000000002</v>
      </c>
      <c r="Q7" s="494" t="s">
        <v>390</v>
      </c>
      <c r="R7" s="494"/>
      <c r="S7" s="494"/>
      <c r="T7" s="494"/>
      <c r="U7" s="494"/>
    </row>
    <row r="8" spans="1:22" s="252" customFormat="1" ht="15" thickBot="1" x14ac:dyDescent="0.35">
      <c r="A8" s="389" t="str">
        <f>Довідник!A55</f>
        <v>Сир кисломолочний</v>
      </c>
      <c r="B8" s="390">
        <f>B$7/Довідник!$B$69</f>
        <v>9.5999999999999988E-2</v>
      </c>
      <c r="C8" s="390">
        <f>C$7/Довідник!$B$69</f>
        <v>0.12266666666666666</v>
      </c>
      <c r="D8" s="390">
        <f>D$7/Довідник!$B$69</f>
        <v>0.19829333333333332</v>
      </c>
      <c r="E8" s="390">
        <f>E$7/Довідник!$B$69</f>
        <v>0.28223999999999999</v>
      </c>
      <c r="F8" s="390">
        <f>F$7/Довідник!$B$69</f>
        <v>0.40479999999999999</v>
      </c>
      <c r="G8" s="390">
        <f>G$7/Довідник!$B$69</f>
        <v>0.50175999999999998</v>
      </c>
      <c r="H8" s="390">
        <f>H$7/Довідник!$B$69</f>
        <v>0.61951999999999996</v>
      </c>
      <c r="I8" s="390">
        <f>I$7/Довідник!$B$69</f>
        <v>0.62480000000000002</v>
      </c>
      <c r="J8" s="390">
        <f>J$7/Довідник!$B$69</f>
        <v>0.63503999999999994</v>
      </c>
      <c r="K8" s="390">
        <f>K$7/Довідник!$B$69</f>
        <v>0.5779200000000001</v>
      </c>
      <c r="L8" s="390">
        <f>L$7/Довідник!$B$69</f>
        <v>0.48533333333333334</v>
      </c>
      <c r="M8" s="390">
        <f>M$7/Довідник!$B$69</f>
        <v>0.46080000000000004</v>
      </c>
      <c r="N8" s="391">
        <f t="shared" si="0"/>
        <v>5.009173333333333</v>
      </c>
      <c r="Q8" s="494"/>
      <c r="R8" s="494"/>
      <c r="S8" s="494"/>
      <c r="T8" s="494"/>
      <c r="U8" s="494"/>
    </row>
    <row r="9" spans="1:22" x14ac:dyDescent="0.3">
      <c r="A9" s="164" t="s">
        <v>233</v>
      </c>
      <c r="B9" s="379">
        <f>Довідник!B$56*'Виробничий план'!B$4/100</f>
        <v>0.86399999999999988</v>
      </c>
      <c r="C9" s="379">
        <f>Довідник!C$56*'Виробничий план'!C$4/100</f>
        <v>1.1039999999999999</v>
      </c>
      <c r="D9" s="379">
        <f>Довідник!D$56*'Виробничий план'!D$4/100</f>
        <v>1.78464</v>
      </c>
      <c r="E9" s="379">
        <f>Довідник!E$56*'Виробничий план'!E$4/100</f>
        <v>2.5401599999999998</v>
      </c>
      <c r="F9" s="379">
        <f>Довідник!F$56*'Виробничий план'!F$4/100</f>
        <v>3.6431999999999998</v>
      </c>
      <c r="G9" s="379">
        <f>Довідник!G$56*'Виробничий план'!G$4/100</f>
        <v>4.5158399999999999</v>
      </c>
      <c r="H9" s="379">
        <f>Довідник!H$56*'Виробничий план'!H$4/100</f>
        <v>5.5756800000000002</v>
      </c>
      <c r="I9" s="379">
        <f>Довідник!I$56*'Виробничий план'!I$4/100</f>
        <v>5.6231999999999998</v>
      </c>
      <c r="J9" s="379">
        <f>Довідник!J$56*'Виробничий план'!J$4/100</f>
        <v>5.7153600000000004</v>
      </c>
      <c r="K9" s="379">
        <f>Довідник!K$56*'Виробничий план'!K$4/100</f>
        <v>5.2012800000000006</v>
      </c>
      <c r="L9" s="379">
        <f>Довідник!L$56*'Виробничий план'!L$4/100</f>
        <v>4.3679999999999994</v>
      </c>
      <c r="M9" s="379">
        <f>Довідник!M$56*'Виробничий план'!M$4/100</f>
        <v>4.1472000000000007</v>
      </c>
      <c r="N9" s="388">
        <f t="shared" si="0"/>
        <v>45.082560000000008</v>
      </c>
      <c r="Q9" s="494"/>
      <c r="R9" s="494"/>
      <c r="S9" s="494"/>
      <c r="T9" s="494"/>
      <c r="U9" s="494"/>
    </row>
    <row r="10" spans="1:22" s="252" customFormat="1" ht="15" thickBot="1" x14ac:dyDescent="0.35">
      <c r="A10" s="389" t="str">
        <f>Довідник!A56</f>
        <v>Кефір</v>
      </c>
      <c r="B10" s="390">
        <f>B$9/Довідник!$B$70</f>
        <v>0.8388349514563106</v>
      </c>
      <c r="C10" s="390">
        <f>C$9/Довідник!$B$70</f>
        <v>1.0718446601941747</v>
      </c>
      <c r="D10" s="390">
        <f>D$9/Довідник!$B$70</f>
        <v>1.7326601941747573</v>
      </c>
      <c r="E10" s="390">
        <f>E$9/Довідник!$B$70</f>
        <v>2.4661747572815531</v>
      </c>
      <c r="F10" s="390">
        <f>F$9/Довідник!$B$70</f>
        <v>3.5370873786407766</v>
      </c>
      <c r="G10" s="390">
        <f>G$9/Довідник!$B$70</f>
        <v>4.3843106796116507</v>
      </c>
      <c r="H10" s="390">
        <f>H$9/Довідник!$B$70</f>
        <v>5.4132815533980585</v>
      </c>
      <c r="I10" s="390">
        <f>I$9/Довідник!$B$70</f>
        <v>5.4594174757281548</v>
      </c>
      <c r="J10" s="390">
        <f>J$9/Довідник!$B$70</f>
        <v>5.5488932038834955</v>
      </c>
      <c r="K10" s="390">
        <f>K$9/Довідник!$B$70</f>
        <v>5.0497864077669909</v>
      </c>
      <c r="L10" s="390">
        <f>L$9/Довідник!$B$70</f>
        <v>4.2407766990291256</v>
      </c>
      <c r="M10" s="390">
        <f>M$9/Довідник!$B$70</f>
        <v>4.0264077669902916</v>
      </c>
      <c r="N10" s="391">
        <f t="shared" si="0"/>
        <v>43.769475728155342</v>
      </c>
      <c r="Q10" s="494"/>
      <c r="R10" s="494"/>
      <c r="S10" s="494"/>
      <c r="T10" s="494"/>
      <c r="U10" s="494"/>
    </row>
    <row r="11" spans="1:22" x14ac:dyDescent="0.3">
      <c r="A11" s="164" t="s">
        <v>233</v>
      </c>
      <c r="B11" s="379">
        <f>Довідник!B$57*'Виробничий план'!B$4/100</f>
        <v>0.28799999999999998</v>
      </c>
      <c r="C11" s="379">
        <f>Довідник!C$57*'Виробничий план'!C$4/100</f>
        <v>0.36799999999999999</v>
      </c>
      <c r="D11" s="379">
        <f>Довідник!D$57*'Виробничий план'!D$4/100</f>
        <v>0.59487999999999996</v>
      </c>
      <c r="E11" s="379">
        <f>Довідник!E$57*'Виробничий план'!E$4/100</f>
        <v>0.84671999999999992</v>
      </c>
      <c r="F11" s="379">
        <f>Довідник!F$57*'Виробничий план'!F$4/100</f>
        <v>1.2143999999999999</v>
      </c>
      <c r="G11" s="379">
        <f>Довідник!G$57*'Виробничий план'!G$4/100</f>
        <v>1.50528</v>
      </c>
      <c r="H11" s="379">
        <f>Довідник!H$57*'Виробничий план'!H$4/100</f>
        <v>1.85856</v>
      </c>
      <c r="I11" s="379">
        <f>Довідник!I$57*'Виробничий план'!I$4/100</f>
        <v>1.8744000000000001</v>
      </c>
      <c r="J11" s="379">
        <f>Довідник!J$57*'Виробничий план'!J$4/100</f>
        <v>1.9051199999999999</v>
      </c>
      <c r="K11" s="379">
        <f>Довідник!K$57*'Виробничий план'!K$4/100</f>
        <v>1.7337600000000004</v>
      </c>
      <c r="L11" s="379">
        <f>Довідник!L$57*'Виробничий план'!L$4/100</f>
        <v>1.456</v>
      </c>
      <c r="M11" s="379">
        <f>Довідник!M$57*'Виробничий план'!M$4/100</f>
        <v>1.3824000000000001</v>
      </c>
      <c r="N11" s="388">
        <f t="shared" si="0"/>
        <v>15.027520000000001</v>
      </c>
      <c r="Q11" s="494"/>
      <c r="R11" s="494"/>
      <c r="S11" s="494"/>
      <c r="T11" s="494"/>
      <c r="U11" s="494"/>
    </row>
    <row r="12" spans="1:22" s="252" customFormat="1" ht="15" thickBot="1" x14ac:dyDescent="0.35">
      <c r="A12" s="389" t="str">
        <f>Довідник!A57</f>
        <v>Сметана</v>
      </c>
      <c r="B12" s="390">
        <f>B$11/Довідник!$B$71</f>
        <v>4.1142857142857141E-2</v>
      </c>
      <c r="C12" s="390">
        <f>C$11/Довідник!$B$71</f>
        <v>5.2571428571428568E-2</v>
      </c>
      <c r="D12" s="390">
        <f>D$11/Довідник!$B$71</f>
        <v>8.4982857142857138E-2</v>
      </c>
      <c r="E12" s="390">
        <f>E$11/Довідник!$B$71</f>
        <v>0.12095999999999998</v>
      </c>
      <c r="F12" s="390">
        <f>F$11/Довідник!$B$71</f>
        <v>0.17348571428571427</v>
      </c>
      <c r="G12" s="390">
        <f>G$11/Довідник!$B$71</f>
        <v>0.21503999999999998</v>
      </c>
      <c r="H12" s="390">
        <f>H$11/Довідник!$B$71</f>
        <v>0.26550857142857143</v>
      </c>
      <c r="I12" s="390">
        <f>I$11/Довідник!$B$71</f>
        <v>0.2677714285714286</v>
      </c>
      <c r="J12" s="390">
        <f>J$11/Довідник!$B$71</f>
        <v>0.27216000000000001</v>
      </c>
      <c r="K12" s="390">
        <f>K$11/Довідник!$B$71</f>
        <v>0.24768000000000007</v>
      </c>
      <c r="L12" s="390">
        <f>L$11/Довідник!$B$71</f>
        <v>0.20799999999999999</v>
      </c>
      <c r="M12" s="390">
        <f>M$11/Довідник!$B$71</f>
        <v>0.19748571428571429</v>
      </c>
      <c r="N12" s="391">
        <f t="shared" si="0"/>
        <v>2.1467885714285715</v>
      </c>
      <c r="Q12" s="494"/>
      <c r="R12" s="494"/>
      <c r="S12" s="494"/>
      <c r="T12" s="494"/>
      <c r="U12" s="494"/>
    </row>
    <row r="13" spans="1:22" x14ac:dyDescent="0.3">
      <c r="A13" s="164" t="s">
        <v>233</v>
      </c>
      <c r="B13" s="379">
        <f>Довідник!B$58*'Виробничий план'!B$4/100</f>
        <v>0.86399999999999988</v>
      </c>
      <c r="C13" s="379">
        <f>Довідник!C$58*'Виробничий план'!C$4/100</f>
        <v>1.1039999999999999</v>
      </c>
      <c r="D13" s="379">
        <f>Довідник!D$58*'Виробничий план'!D$4/100</f>
        <v>1.78464</v>
      </c>
      <c r="E13" s="379">
        <f>Довідник!E$58*'Виробничий план'!E$4/100</f>
        <v>2.5401599999999998</v>
      </c>
      <c r="F13" s="379">
        <f>Довідник!F$58*'Виробничий план'!F$4/100</f>
        <v>3.6431999999999998</v>
      </c>
      <c r="G13" s="379">
        <f>Довідник!G$58*'Виробничий план'!G$4/100</f>
        <v>4.5158399999999999</v>
      </c>
      <c r="H13" s="379">
        <f>Довідник!H$58*'Виробничий план'!H$4/100</f>
        <v>5.5756800000000002</v>
      </c>
      <c r="I13" s="379">
        <f>Довідник!I$58*'Виробничий план'!I$4/100</f>
        <v>5.6231999999999998</v>
      </c>
      <c r="J13" s="379">
        <f>Довідник!J$58*'Виробничий план'!J$4/100</f>
        <v>5.7153600000000004</v>
      </c>
      <c r="K13" s="379">
        <f>Довідник!K$58*'Виробничий план'!K$4/100</f>
        <v>5.2012800000000006</v>
      </c>
      <c r="L13" s="379">
        <f>Довідник!L$58*'Виробничий план'!L$4/100</f>
        <v>4.3679999999999994</v>
      </c>
      <c r="M13" s="379">
        <f>Довідник!M$58*'Виробничий план'!M$4/100</f>
        <v>4.1472000000000007</v>
      </c>
      <c r="N13" s="388">
        <f t="shared" si="0"/>
        <v>45.082560000000008</v>
      </c>
      <c r="Q13" s="494"/>
      <c r="R13" s="494"/>
      <c r="S13" s="494"/>
      <c r="T13" s="494"/>
      <c r="U13" s="494"/>
    </row>
    <row r="14" spans="1:22" s="252" customFormat="1" ht="15" thickBot="1" x14ac:dyDescent="0.35">
      <c r="A14" s="389" t="str">
        <f>Довідник!A58</f>
        <v>Сир м'який</v>
      </c>
      <c r="B14" s="390">
        <f>B$13/Довідник!$B$72</f>
        <v>0.14399999999999999</v>
      </c>
      <c r="C14" s="390">
        <f>C$13/Довідник!$B$72</f>
        <v>0.18399999999999997</v>
      </c>
      <c r="D14" s="390">
        <f>D$13/Довідник!$B$72</f>
        <v>0.29743999999999998</v>
      </c>
      <c r="E14" s="390">
        <f>E$13/Довідник!$B$72</f>
        <v>0.42335999999999996</v>
      </c>
      <c r="F14" s="390">
        <f>F$13/Довідник!$B$72</f>
        <v>0.60719999999999996</v>
      </c>
      <c r="G14" s="390">
        <f>G$13/Довідник!$B$72</f>
        <v>0.75263999999999998</v>
      </c>
      <c r="H14" s="390">
        <f>H$13/Довідник!$B$72</f>
        <v>0.92927999999999999</v>
      </c>
      <c r="I14" s="390">
        <f>I$13/Довідник!$B$72</f>
        <v>0.93719999999999992</v>
      </c>
      <c r="J14" s="390">
        <f>J$13/Довідник!$B$72</f>
        <v>0.95256000000000007</v>
      </c>
      <c r="K14" s="390">
        <f>K$13/Довідник!$B$72</f>
        <v>0.86688000000000009</v>
      </c>
      <c r="L14" s="390">
        <f>L$13/Довідник!$B$72</f>
        <v>0.72799999999999987</v>
      </c>
      <c r="M14" s="390">
        <f>M$13/Довідник!$B$72</f>
        <v>0.69120000000000015</v>
      </c>
      <c r="N14" s="391">
        <f t="shared" si="0"/>
        <v>7.5137600000000004</v>
      </c>
      <c r="Q14" s="494"/>
      <c r="R14" s="494"/>
      <c r="S14" s="494"/>
      <c r="T14" s="494"/>
      <c r="U14" s="494"/>
    </row>
    <row r="15" spans="1:22" x14ac:dyDescent="0.3">
      <c r="A15" s="164" t="s">
        <v>234</v>
      </c>
      <c r="B15" s="379">
        <f>(B4-B6-B8-B10-B12-B14)*0.6</f>
        <v>0.88321331484049947</v>
      </c>
      <c r="C15" s="379">
        <f t="shared" ref="C15:M15" si="1">(C4-C6-C8-C10-C12-C14)*0.6</f>
        <v>1.1285503467406379</v>
      </c>
      <c r="D15" s="379">
        <f t="shared" si="1"/>
        <v>1.8243261692094317</v>
      </c>
      <c r="E15" s="379">
        <f t="shared" si="1"/>
        <v>2.5966471456310685</v>
      </c>
      <c r="F15" s="379">
        <f t="shared" si="1"/>
        <v>3.7242161442441057</v>
      </c>
      <c r="G15" s="379">
        <f t="shared" si="1"/>
        <v>4.6162615922330081</v>
      </c>
      <c r="H15" s="379">
        <f t="shared" si="1"/>
        <v>5.699669925104021</v>
      </c>
      <c r="I15" s="379">
        <f t="shared" si="1"/>
        <v>5.7482466574202471</v>
      </c>
      <c r="J15" s="379">
        <f t="shared" si="1"/>
        <v>5.8424560776699037</v>
      </c>
      <c r="K15" s="379">
        <f t="shared" si="1"/>
        <v>5.3169441553398054</v>
      </c>
      <c r="L15" s="379">
        <f t="shared" si="1"/>
        <v>4.4651339805825234</v>
      </c>
      <c r="M15" s="379">
        <f t="shared" si="1"/>
        <v>4.2394239112343959</v>
      </c>
      <c r="N15" s="388">
        <f t="shared" si="0"/>
        <v>46.085089420249645</v>
      </c>
      <c r="Q15" s="494"/>
      <c r="R15" s="494"/>
      <c r="S15" s="494"/>
      <c r="T15" s="494"/>
      <c r="U15" s="494"/>
    </row>
    <row r="16" spans="1:22" s="252" customFormat="1" ht="15" thickBot="1" x14ac:dyDescent="0.35">
      <c r="A16" s="355" t="str">
        <f>Довідник!A61</f>
        <v>Сир Рікотта</v>
      </c>
      <c r="B16" s="392">
        <f>B$15*Довідник!$B$75</f>
        <v>4.4160665742024978E-2</v>
      </c>
      <c r="C16" s="392">
        <f>C$15*Довідник!$B$75</f>
        <v>5.6427517337031899E-2</v>
      </c>
      <c r="D16" s="392">
        <f>D$15*Довідник!$B$75</f>
        <v>9.1216308460471587E-2</v>
      </c>
      <c r="E16" s="392">
        <f>E$15*Довідник!$B$75</f>
        <v>0.12983235728155343</v>
      </c>
      <c r="F16" s="392">
        <f>F$15*Довідник!$B$75</f>
        <v>0.18621080721220529</v>
      </c>
      <c r="G16" s="392">
        <f>G$15*Довідник!$B$75</f>
        <v>0.23081307961165043</v>
      </c>
      <c r="H16" s="392">
        <f>H$15*Довідник!$B$75</f>
        <v>0.28498349625520109</v>
      </c>
      <c r="I16" s="392">
        <f>I$15*Довідник!$B$75</f>
        <v>0.28741233287101237</v>
      </c>
      <c r="J16" s="392">
        <f>J$15*Довідник!$B$75</f>
        <v>0.29212280388349521</v>
      </c>
      <c r="K16" s="392">
        <f>K$15*Довідник!$B$75</f>
        <v>0.26584720776699028</v>
      </c>
      <c r="L16" s="392">
        <f>L$15*Довідник!$B$75</f>
        <v>0.22325669902912618</v>
      </c>
      <c r="M16" s="392">
        <f>M$15*Довідник!$B$75</f>
        <v>0.21197119556171981</v>
      </c>
      <c r="N16" s="391">
        <f t="shared" si="0"/>
        <v>2.3042544710124826</v>
      </c>
      <c r="Q16" s="494"/>
      <c r="R16" s="494"/>
      <c r="S16" s="494"/>
      <c r="T16" s="494"/>
      <c r="U16" s="494"/>
    </row>
    <row r="17" spans="1:21" x14ac:dyDescent="0.3">
      <c r="Q17" s="494"/>
      <c r="R17" s="494"/>
      <c r="S17" s="494"/>
      <c r="T17" s="494"/>
      <c r="U17" s="494"/>
    </row>
    <row r="19" spans="1:21" ht="15" customHeight="1" thickBot="1" x14ac:dyDescent="0.35">
      <c r="A19" s="486" t="s">
        <v>230</v>
      </c>
      <c r="B19" s="486"/>
      <c r="C19" s="486"/>
      <c r="D19" s="486"/>
      <c r="E19" s="486"/>
      <c r="F19" s="486"/>
      <c r="G19" s="486"/>
      <c r="H19" s="486"/>
      <c r="I19" s="486"/>
      <c r="J19" s="486"/>
      <c r="K19" s="486"/>
      <c r="L19" s="486"/>
      <c r="M19" s="486"/>
      <c r="N19" s="486"/>
    </row>
    <row r="20" spans="1:21" ht="14.4" customHeight="1" x14ac:dyDescent="0.3">
      <c r="A20" s="487" t="s">
        <v>32</v>
      </c>
      <c r="B20" s="489" t="s">
        <v>33</v>
      </c>
      <c r="C20" s="490"/>
      <c r="D20" s="490"/>
      <c r="E20" s="490"/>
      <c r="F20" s="490"/>
      <c r="G20" s="490"/>
      <c r="H20" s="490"/>
      <c r="I20" s="490"/>
      <c r="J20" s="490"/>
      <c r="K20" s="490"/>
      <c r="L20" s="490"/>
      <c r="M20" s="491"/>
      <c r="N20" s="492" t="s">
        <v>209</v>
      </c>
    </row>
    <row r="21" spans="1:21" ht="15" thickBot="1" x14ac:dyDescent="0.35">
      <c r="A21" s="488"/>
      <c r="B21" s="249" t="s">
        <v>34</v>
      </c>
      <c r="C21" s="266" t="s">
        <v>35</v>
      </c>
      <c r="D21" s="266" t="s">
        <v>36</v>
      </c>
      <c r="E21" s="266" t="s">
        <v>37</v>
      </c>
      <c r="F21" s="266" t="s">
        <v>38</v>
      </c>
      <c r="G21" s="266" t="s">
        <v>39</v>
      </c>
      <c r="H21" s="266" t="s">
        <v>40</v>
      </c>
      <c r="I21" s="266" t="s">
        <v>41</v>
      </c>
      <c r="J21" s="266" t="s">
        <v>42</v>
      </c>
      <c r="K21" s="266" t="s">
        <v>43</v>
      </c>
      <c r="L21" s="266" t="s">
        <v>44</v>
      </c>
      <c r="M21" s="266" t="s">
        <v>45</v>
      </c>
      <c r="N21" s="493"/>
    </row>
    <row r="22" spans="1:21" ht="24.6" thickBot="1" x14ac:dyDescent="0.35">
      <c r="A22" s="385" t="s">
        <v>232</v>
      </c>
      <c r="B22" s="386">
        <f>'Збір молока'!B19</f>
        <v>15.36</v>
      </c>
      <c r="C22" s="386">
        <f>'Збір молока'!C19</f>
        <v>18.128</v>
      </c>
      <c r="D22" s="386">
        <f>'Збір молока'!D19</f>
        <v>26.611200000000004</v>
      </c>
      <c r="E22" s="386">
        <f>'Збір молока'!E19</f>
        <v>28.98</v>
      </c>
      <c r="F22" s="386">
        <f>'Збір молока'!F19</f>
        <v>32.384</v>
      </c>
      <c r="G22" s="386">
        <f>'Збір молока'!G19</f>
        <v>32.256</v>
      </c>
      <c r="H22" s="386">
        <f>'Збір молока'!H19</f>
        <v>33.792000000000002</v>
      </c>
      <c r="I22" s="386">
        <f>'Збір молока'!I19</f>
        <v>35.4816</v>
      </c>
      <c r="J22" s="386">
        <f>'Збір молока'!J19</f>
        <v>33.012</v>
      </c>
      <c r="K22" s="386">
        <f>'Збір молока'!K19</f>
        <v>27.4176</v>
      </c>
      <c r="L22" s="386">
        <f>'Збір молока'!L19</f>
        <v>27.648000000000003</v>
      </c>
      <c r="M22" s="386">
        <f>'Збір молока'!M19</f>
        <v>23.36</v>
      </c>
      <c r="N22" s="387">
        <f>SUM(B22:M22)</f>
        <v>334.43040000000002</v>
      </c>
    </row>
    <row r="23" spans="1:21" x14ac:dyDescent="0.3">
      <c r="A23" s="164" t="s">
        <v>233</v>
      </c>
      <c r="B23" s="379">
        <f>Довідник!B$54*'Виробничий план'!B$22/100</f>
        <v>1.536</v>
      </c>
      <c r="C23" s="379">
        <f>Довідник!C$54*'Виробничий план'!C$22/100</f>
        <v>1.8128</v>
      </c>
      <c r="D23" s="379">
        <f>Довідник!D$54*'Виробничий план'!D$22/100</f>
        <v>2.6611200000000004</v>
      </c>
      <c r="E23" s="379">
        <f>Довідник!E$54*'Виробничий план'!E$22/100</f>
        <v>2.8980000000000001</v>
      </c>
      <c r="F23" s="379">
        <f>Довідник!F$54*'Виробничий план'!F$22/100</f>
        <v>3.2384000000000004</v>
      </c>
      <c r="G23" s="379">
        <f>Довідник!G$54*'Виробничий план'!G$22/100</f>
        <v>3.2256</v>
      </c>
      <c r="H23" s="379">
        <f>Довідник!H$54*'Виробничий план'!H$22/100</f>
        <v>3.3792</v>
      </c>
      <c r="I23" s="379">
        <f>Довідник!I$54*'Виробничий план'!I$22/100</f>
        <v>3.5481600000000002</v>
      </c>
      <c r="J23" s="379">
        <f>Довідник!J$54*'Виробничий план'!J$22/100</f>
        <v>3.3012000000000001</v>
      </c>
      <c r="K23" s="379">
        <f>Довідник!K$54*'Виробничий план'!K$22/100</f>
        <v>2.7417599999999998</v>
      </c>
      <c r="L23" s="379">
        <f>Довідник!L$54*'Виробничий план'!L$22/100</f>
        <v>2.7648000000000001</v>
      </c>
      <c r="M23" s="379">
        <f>Довідник!M$54*'Виробничий план'!M$22/100</f>
        <v>2.3359999999999999</v>
      </c>
      <c r="N23" s="388">
        <f t="shared" ref="N23:N34" si="2">SUM(B23:M23)</f>
        <v>33.443040000000003</v>
      </c>
    </row>
    <row r="24" spans="1:21" s="252" customFormat="1" ht="15" thickBot="1" x14ac:dyDescent="0.35">
      <c r="A24" s="389" t="str">
        <f>A6</f>
        <v>Молоко питне</v>
      </c>
      <c r="B24" s="390">
        <f>B$23/Довідник!$B$68</f>
        <v>1.536</v>
      </c>
      <c r="C24" s="390">
        <f>C$23/Довідник!$B$68</f>
        <v>1.8128</v>
      </c>
      <c r="D24" s="390">
        <f>D$23/Довідник!$B$68</f>
        <v>2.6611200000000004</v>
      </c>
      <c r="E24" s="390">
        <f>E$23/Довідник!$B$68</f>
        <v>2.8980000000000001</v>
      </c>
      <c r="F24" s="390">
        <f>F$23/Довідник!$B$68</f>
        <v>3.2384000000000004</v>
      </c>
      <c r="G24" s="390">
        <f>G$23/Довідник!$B$68</f>
        <v>3.2256</v>
      </c>
      <c r="H24" s="390">
        <f>H$23/Довідник!$B$68</f>
        <v>3.3792</v>
      </c>
      <c r="I24" s="390">
        <f>I$23/Довідник!$B$68</f>
        <v>3.5481600000000002</v>
      </c>
      <c r="J24" s="390">
        <f>J$23/Довідник!$B$68</f>
        <v>3.3012000000000001</v>
      </c>
      <c r="K24" s="390">
        <f>K$23/Довідник!$B$68</f>
        <v>2.7417599999999998</v>
      </c>
      <c r="L24" s="390">
        <f>L$23/Довідник!$B$68</f>
        <v>2.7648000000000001</v>
      </c>
      <c r="M24" s="390">
        <f>M$23/Довідник!$B$68</f>
        <v>2.3359999999999999</v>
      </c>
      <c r="N24" s="391">
        <f t="shared" si="2"/>
        <v>33.443040000000003</v>
      </c>
    </row>
    <row r="25" spans="1:21" x14ac:dyDescent="0.3">
      <c r="A25" s="164" t="s">
        <v>233</v>
      </c>
      <c r="B25" s="379">
        <f>Довідник!B$55*'Виробничий план'!B$22/100</f>
        <v>3.0720000000000001</v>
      </c>
      <c r="C25" s="379">
        <f>Довідник!C$55*'Виробничий план'!C$22/100</f>
        <v>3.6255999999999999</v>
      </c>
      <c r="D25" s="379">
        <f>Довідник!D$55*'Виробничий план'!D$22/100</f>
        <v>5.3222400000000007</v>
      </c>
      <c r="E25" s="379">
        <f>Довідник!E$55*'Виробничий план'!E$22/100</f>
        <v>5.7960000000000003</v>
      </c>
      <c r="F25" s="379">
        <f>Довідник!F$55*'Виробничий план'!F$22/100</f>
        <v>6.4768000000000008</v>
      </c>
      <c r="G25" s="379">
        <f>Довідник!G$55*'Виробничий план'!G$22/100</f>
        <v>6.4512</v>
      </c>
      <c r="H25" s="379">
        <f>Довідник!H$55*'Виробничий план'!H$22/100</f>
        <v>6.7584</v>
      </c>
      <c r="I25" s="379">
        <f>Довідник!I$55*'Виробничий план'!I$22/100</f>
        <v>7.0963200000000004</v>
      </c>
      <c r="J25" s="379">
        <f>Довідник!J$55*'Виробничий план'!J$22/100</f>
        <v>6.6024000000000003</v>
      </c>
      <c r="K25" s="379">
        <f>Довідник!K$55*'Виробничий план'!K$22/100</f>
        <v>5.4835199999999995</v>
      </c>
      <c r="L25" s="379">
        <f>Довідник!L$55*'Виробничий план'!L$22/100</f>
        <v>5.5296000000000003</v>
      </c>
      <c r="M25" s="379">
        <f>Довідник!M$55*'Виробничий план'!M$22/100</f>
        <v>4.6719999999999997</v>
      </c>
      <c r="N25" s="388">
        <f t="shared" si="2"/>
        <v>66.886080000000007</v>
      </c>
    </row>
    <row r="26" spans="1:21" s="252" customFormat="1" ht="15" thickBot="1" x14ac:dyDescent="0.35">
      <c r="A26" s="389" t="str">
        <f>A8</f>
        <v>Сир кисломолочний</v>
      </c>
      <c r="B26" s="390">
        <f>B$25/Довідник!$B$69</f>
        <v>0.51200000000000001</v>
      </c>
      <c r="C26" s="390">
        <f>C$25/Довідник!$B$69</f>
        <v>0.60426666666666662</v>
      </c>
      <c r="D26" s="390">
        <f>D$25/Довідник!$B$69</f>
        <v>0.88704000000000016</v>
      </c>
      <c r="E26" s="390">
        <f>E$25/Довідник!$B$69</f>
        <v>0.96600000000000008</v>
      </c>
      <c r="F26" s="390">
        <f>F$25/Довідник!$B$69</f>
        <v>1.0794666666666668</v>
      </c>
      <c r="G26" s="390">
        <f>G$25/Довідник!$B$69</f>
        <v>1.0751999999999999</v>
      </c>
      <c r="H26" s="390">
        <f>H$25/Довідник!$B$69</f>
        <v>1.1264000000000001</v>
      </c>
      <c r="I26" s="390">
        <f>I$25/Довідник!$B$69</f>
        <v>1.18272</v>
      </c>
      <c r="J26" s="390">
        <f>J$25/Довідник!$B$69</f>
        <v>1.1004</v>
      </c>
      <c r="K26" s="390">
        <f>K$25/Довідник!$B$69</f>
        <v>0.91391999999999995</v>
      </c>
      <c r="L26" s="390">
        <f>L$25/Довідник!$B$69</f>
        <v>0.92160000000000009</v>
      </c>
      <c r="M26" s="390">
        <f>M$25/Довідник!$B$69</f>
        <v>0.77866666666666662</v>
      </c>
      <c r="N26" s="391">
        <f t="shared" si="2"/>
        <v>11.147679999999999</v>
      </c>
    </row>
    <row r="27" spans="1:21" x14ac:dyDescent="0.3">
      <c r="A27" s="164" t="s">
        <v>233</v>
      </c>
      <c r="B27" s="379">
        <f>Довідник!B$56*'Виробничий план'!B$22/100</f>
        <v>4.6079999999999997</v>
      </c>
      <c r="C27" s="379">
        <f>Довідник!C$56*'Виробничий план'!C$22/100</f>
        <v>5.4384000000000006</v>
      </c>
      <c r="D27" s="379">
        <f>Довідник!D$56*'Виробничий план'!D$22/100</f>
        <v>7.9833600000000011</v>
      </c>
      <c r="E27" s="379">
        <f>Довідник!E$56*'Виробничий план'!E$22/100</f>
        <v>8.6939999999999991</v>
      </c>
      <c r="F27" s="379">
        <f>Довідник!F$56*'Виробничий план'!F$22/100</f>
        <v>9.7151999999999994</v>
      </c>
      <c r="G27" s="379">
        <f>Довідник!G$56*'Виробничий план'!G$22/100</f>
        <v>9.6768000000000001</v>
      </c>
      <c r="H27" s="379">
        <f>Довідник!H$56*'Виробничий план'!H$22/100</f>
        <v>10.137599999999999</v>
      </c>
      <c r="I27" s="379">
        <f>Довідник!I$56*'Виробничий план'!I$22/100</f>
        <v>10.644480000000001</v>
      </c>
      <c r="J27" s="379">
        <f>Довідник!J$56*'Виробничий план'!J$22/100</f>
        <v>9.9036000000000008</v>
      </c>
      <c r="K27" s="379">
        <f>Довідник!K$56*'Виробничий план'!K$22/100</f>
        <v>8.2252799999999997</v>
      </c>
      <c r="L27" s="379">
        <f>Довідник!L$56*'Виробничий план'!L$22/100</f>
        <v>8.2944000000000013</v>
      </c>
      <c r="M27" s="379">
        <f>Довідник!M$56*'Виробничий план'!M$22/100</f>
        <v>7.0079999999999991</v>
      </c>
      <c r="N27" s="388">
        <f t="shared" si="2"/>
        <v>100.32911999999999</v>
      </c>
    </row>
    <row r="28" spans="1:21" s="252" customFormat="1" ht="15" thickBot="1" x14ac:dyDescent="0.35">
      <c r="A28" s="389" t="str">
        <f>A10</f>
        <v>Кефір</v>
      </c>
      <c r="B28" s="390">
        <f>B$27/Довідник!$B$70</f>
        <v>4.4737864077669895</v>
      </c>
      <c r="C28" s="390">
        <f>C$27/Довідник!$B$70</f>
        <v>5.28</v>
      </c>
      <c r="D28" s="390">
        <f>D$27/Довідник!$B$70</f>
        <v>7.7508349514563113</v>
      </c>
      <c r="E28" s="390">
        <f>E$27/Довідник!$B$70</f>
        <v>8.4407766990291258</v>
      </c>
      <c r="F28" s="390">
        <f>F$27/Довідник!$B$70</f>
        <v>9.432233009708737</v>
      </c>
      <c r="G28" s="390">
        <f>G$27/Довідник!$B$70</f>
        <v>9.3949514563106789</v>
      </c>
      <c r="H28" s="390">
        <f>H$27/Довідник!$B$70</f>
        <v>9.8423300970873768</v>
      </c>
      <c r="I28" s="390">
        <f>I$27/Довідник!$B$70</f>
        <v>10.33444660194175</v>
      </c>
      <c r="J28" s="390">
        <f>J$27/Довідник!$B$70</f>
        <v>9.6151456310679624</v>
      </c>
      <c r="K28" s="390">
        <f>K$27/Довідник!$B$70</f>
        <v>7.9857087378640772</v>
      </c>
      <c r="L28" s="390">
        <f>L$27/Довідник!$B$70</f>
        <v>8.0528155339805831</v>
      </c>
      <c r="M28" s="390">
        <f>M$27/Довідник!$B$70</f>
        <v>6.8038834951456302</v>
      </c>
      <c r="N28" s="391">
        <f t="shared" si="2"/>
        <v>97.406912621359211</v>
      </c>
    </row>
    <row r="29" spans="1:21" x14ac:dyDescent="0.3">
      <c r="A29" s="164" t="s">
        <v>233</v>
      </c>
      <c r="B29" s="379">
        <f>Довідник!B$57*'Виробничий план'!B$22/100</f>
        <v>1.536</v>
      </c>
      <c r="C29" s="379">
        <f>Довідник!C$57*'Виробничий план'!C$22/100</f>
        <v>1.8128</v>
      </c>
      <c r="D29" s="379">
        <f>Довідник!D$57*'Виробничий план'!D$22/100</f>
        <v>2.6611200000000004</v>
      </c>
      <c r="E29" s="379">
        <f>Довідник!E$57*'Виробничий план'!E$22/100</f>
        <v>2.8980000000000001</v>
      </c>
      <c r="F29" s="379">
        <f>Довідник!F$57*'Виробничий план'!F$22/100</f>
        <v>3.2384000000000004</v>
      </c>
      <c r="G29" s="379">
        <f>Довідник!G$57*'Виробничий план'!G$22/100</f>
        <v>3.2256</v>
      </c>
      <c r="H29" s="379">
        <f>Довідник!H$57*'Виробничий план'!H$22/100</f>
        <v>3.3792</v>
      </c>
      <c r="I29" s="379">
        <f>Довідник!I$57*'Виробничий план'!I$22/100</f>
        <v>3.5481600000000002</v>
      </c>
      <c r="J29" s="379">
        <f>Довідник!J$57*'Виробничий план'!J$22/100</f>
        <v>3.3012000000000001</v>
      </c>
      <c r="K29" s="379">
        <f>Довідник!K$57*'Виробничий план'!K$22/100</f>
        <v>2.7417599999999998</v>
      </c>
      <c r="L29" s="379">
        <f>Довідник!L$57*'Виробничий план'!L$22/100</f>
        <v>2.7648000000000001</v>
      </c>
      <c r="M29" s="379">
        <f>Довідник!M$57*'Виробничий план'!M$22/100</f>
        <v>2.3359999999999999</v>
      </c>
      <c r="N29" s="388">
        <f t="shared" si="2"/>
        <v>33.443040000000003</v>
      </c>
    </row>
    <row r="30" spans="1:21" s="252" customFormat="1" ht="15" thickBot="1" x14ac:dyDescent="0.35">
      <c r="A30" s="389" t="str">
        <f>A12</f>
        <v>Сметана</v>
      </c>
      <c r="B30" s="390">
        <f>B$29/Довідник!$B$71</f>
        <v>0.21942857142857145</v>
      </c>
      <c r="C30" s="390">
        <f>C$29/Довідник!$B$71</f>
        <v>0.25897142857142857</v>
      </c>
      <c r="D30" s="390">
        <f>D$29/Довідник!$B$71</f>
        <v>0.38016000000000005</v>
      </c>
      <c r="E30" s="390">
        <f>E$29/Довідник!$B$71</f>
        <v>0.41400000000000003</v>
      </c>
      <c r="F30" s="390">
        <f>F$29/Довідник!$B$71</f>
        <v>0.4626285714285715</v>
      </c>
      <c r="G30" s="390">
        <f>G$29/Довідник!$B$71</f>
        <v>0.46079999999999999</v>
      </c>
      <c r="H30" s="390">
        <f>H$29/Довідник!$B$71</f>
        <v>0.48274285714285714</v>
      </c>
      <c r="I30" s="390">
        <f>I$29/Довідник!$B$71</f>
        <v>0.50688</v>
      </c>
      <c r="J30" s="390">
        <f>J$29/Довідник!$B$71</f>
        <v>0.47160000000000002</v>
      </c>
      <c r="K30" s="390">
        <f>K$29/Довідник!$B$71</f>
        <v>0.39167999999999997</v>
      </c>
      <c r="L30" s="390">
        <f>L$29/Довідник!$B$71</f>
        <v>0.39497142857142858</v>
      </c>
      <c r="M30" s="390">
        <f>M$29/Довідник!$B$71</f>
        <v>0.33371428571428569</v>
      </c>
      <c r="N30" s="391">
        <f t="shared" si="2"/>
        <v>4.777577142857143</v>
      </c>
    </row>
    <row r="31" spans="1:21" x14ac:dyDescent="0.3">
      <c r="A31" s="164" t="s">
        <v>233</v>
      </c>
      <c r="B31" s="379">
        <f>Довідник!B$58*'Виробничий план'!B$22/100</f>
        <v>4.6079999999999997</v>
      </c>
      <c r="C31" s="379">
        <f>Довідник!C$58*'Виробничий план'!C$22/100</f>
        <v>5.4384000000000006</v>
      </c>
      <c r="D31" s="379">
        <f>Довідник!D$58*'Виробничий план'!D$22/100</f>
        <v>7.9833600000000011</v>
      </c>
      <c r="E31" s="379">
        <f>Довідник!E$58*'Виробничий план'!E$22/100</f>
        <v>8.6939999999999991</v>
      </c>
      <c r="F31" s="379">
        <f>Довідник!F$58*'Виробничий план'!F$22/100</f>
        <v>9.7151999999999994</v>
      </c>
      <c r="G31" s="379">
        <f>Довідник!G$58*'Виробничий план'!G$22/100</f>
        <v>9.6768000000000001</v>
      </c>
      <c r="H31" s="379">
        <f>Довідник!H$58*'Виробничий план'!H$22/100</f>
        <v>10.137599999999999</v>
      </c>
      <c r="I31" s="379">
        <f>Довідник!I$58*'Виробничий план'!I$22/100</f>
        <v>10.644480000000001</v>
      </c>
      <c r="J31" s="379">
        <f>Довідник!J$58*'Виробничий план'!J$22/100</f>
        <v>9.9036000000000008</v>
      </c>
      <c r="K31" s="379">
        <f>Довідник!K$58*'Виробничий план'!K$22/100</f>
        <v>8.2252799999999997</v>
      </c>
      <c r="L31" s="379">
        <f>Довідник!L$58*'Виробничий план'!L$22/100</f>
        <v>8.2944000000000013</v>
      </c>
      <c r="M31" s="379">
        <f>Довідник!M$58*'Виробничий план'!M$22/100</f>
        <v>7.0079999999999991</v>
      </c>
      <c r="N31" s="388">
        <f t="shared" si="2"/>
        <v>100.32911999999999</v>
      </c>
    </row>
    <row r="32" spans="1:21" ht="15" thickBot="1" x14ac:dyDescent="0.35">
      <c r="A32" s="389" t="str">
        <f>A14</f>
        <v>Сир м'який</v>
      </c>
      <c r="B32" s="390">
        <f>B$31/Довідник!$B$72</f>
        <v>0.7679999999999999</v>
      </c>
      <c r="C32" s="390">
        <f>C$31/Довідник!$B$72</f>
        <v>0.90640000000000009</v>
      </c>
      <c r="D32" s="390">
        <f>D$31/Довідник!$B$72</f>
        <v>1.3305600000000002</v>
      </c>
      <c r="E32" s="390">
        <f>E$31/Довідник!$B$72</f>
        <v>1.4489999999999998</v>
      </c>
      <c r="F32" s="390">
        <f>F$31/Довідник!$B$72</f>
        <v>1.6192</v>
      </c>
      <c r="G32" s="390">
        <f>G$31/Довідник!$B$72</f>
        <v>1.6128</v>
      </c>
      <c r="H32" s="390">
        <f>H$31/Довідник!$B$72</f>
        <v>1.6895999999999998</v>
      </c>
      <c r="I32" s="390">
        <f>I$31/Довідник!$B$72</f>
        <v>1.7740800000000003</v>
      </c>
      <c r="J32" s="390">
        <f>J$31/Довідник!$B$72</f>
        <v>1.6506000000000001</v>
      </c>
      <c r="K32" s="390">
        <f>K$31/Довідник!$B$72</f>
        <v>1.3708799999999999</v>
      </c>
      <c r="L32" s="390">
        <f>L$31/Довідник!$B$72</f>
        <v>1.3824000000000003</v>
      </c>
      <c r="M32" s="390">
        <f>M$31/Довідник!$B$72</f>
        <v>1.1679999999999999</v>
      </c>
      <c r="N32" s="391">
        <f t="shared" si="2"/>
        <v>16.721520000000002</v>
      </c>
    </row>
    <row r="33" spans="1:14" x14ac:dyDescent="0.3">
      <c r="A33" s="164" t="s">
        <v>234</v>
      </c>
      <c r="B33" s="379">
        <f>(B22-B24-B26-B28-B30-B32)*0.6</f>
        <v>4.7104710124826639</v>
      </c>
      <c r="C33" s="379">
        <f t="shared" ref="C33" si="3">(C22-C24-C26-C28-C30-C32)*0.6</f>
        <v>5.559337142857145</v>
      </c>
      <c r="D33" s="379">
        <f t="shared" ref="D33" si="4">(D22-D24-D26-D28-D30-D32)*0.6</f>
        <v>8.1608910291262156</v>
      </c>
      <c r="E33" s="379">
        <f t="shared" ref="E33" si="5">(E22-E24-E26-E28-E30-E32)*0.6</f>
        <v>8.8873339805825236</v>
      </c>
      <c r="F33" s="379">
        <f t="shared" ref="F33" si="6">(F22-F24-F26-F28-F30-F32)*0.6</f>
        <v>9.9312430513176135</v>
      </c>
      <c r="G33" s="379">
        <f t="shared" ref="G33" si="7">(G22-G24-G26-G28-G30-G32)*0.6</f>
        <v>9.8919891262135931</v>
      </c>
      <c r="H33" s="379">
        <f t="shared" ref="H33" si="8">(H22-H24-H26-H28-H30-H32)*0.6</f>
        <v>10.36303622746186</v>
      </c>
      <c r="I33" s="379">
        <f t="shared" ref="I33" si="9">(I22-I24-I26-I28-I30-I32)*0.6</f>
        <v>10.881188038834951</v>
      </c>
      <c r="J33" s="379">
        <f t="shared" ref="J33" si="10">(J22-J24-J26-J28-J30-J32)*0.6</f>
        <v>10.123832621359222</v>
      </c>
      <c r="K33" s="379">
        <f t="shared" ref="K33" si="11">(K22-K24-K26-K28-K30-K32)*0.6</f>
        <v>8.4081907572815542</v>
      </c>
      <c r="L33" s="379">
        <f t="shared" ref="L33" si="12">(L22-L24-L26-L28-L30-L32)*0.6</f>
        <v>8.4788478224687918</v>
      </c>
      <c r="M33" s="379">
        <f t="shared" ref="M33" si="13">(M22-M24-M26-M28-M30-M32)*0.6</f>
        <v>7.1638413314840514</v>
      </c>
      <c r="N33" s="388">
        <f t="shared" si="2"/>
        <v>102.5602021414702</v>
      </c>
    </row>
    <row r="34" spans="1:14" ht="15" thickBot="1" x14ac:dyDescent="0.35">
      <c r="A34" s="389" t="str">
        <f>A16</f>
        <v>Сир Рікотта</v>
      </c>
      <c r="B34" s="392">
        <f>B$33*Довідник!$B$75</f>
        <v>0.23552355062413322</v>
      </c>
      <c r="C34" s="392">
        <f>C$33*Довідник!$B$75</f>
        <v>0.27796685714285724</v>
      </c>
      <c r="D34" s="392">
        <f>D$33*Довідник!$B$75</f>
        <v>0.4080445514563108</v>
      </c>
      <c r="E34" s="392">
        <f>E$33*Довідник!$B$75</f>
        <v>0.44436669902912618</v>
      </c>
      <c r="F34" s="392">
        <f>F$33*Довідник!$B$75</f>
        <v>0.49656215256588071</v>
      </c>
      <c r="G34" s="392">
        <f>G$33*Довідник!$B$75</f>
        <v>0.4945994563106797</v>
      </c>
      <c r="H34" s="392">
        <f>H$33*Довідник!$B$75</f>
        <v>0.51815181137309307</v>
      </c>
      <c r="I34" s="392">
        <f>I$33*Довідник!$B$75</f>
        <v>0.54405940194174762</v>
      </c>
      <c r="J34" s="392">
        <f>J$33*Довідник!$B$75</f>
        <v>0.50619163106796117</v>
      </c>
      <c r="K34" s="392">
        <f>K$33*Довідник!$B$75</f>
        <v>0.42040953786407775</v>
      </c>
      <c r="L34" s="392">
        <f>L$33*Довідник!$B$75</f>
        <v>0.42394239112343962</v>
      </c>
      <c r="M34" s="392">
        <f>M$33*Довідник!$B$75</f>
        <v>0.35819206657420261</v>
      </c>
      <c r="N34" s="391">
        <f t="shared" si="2"/>
        <v>5.1280101070735098</v>
      </c>
    </row>
    <row r="37" spans="1:14" ht="15" customHeight="1" thickBot="1" x14ac:dyDescent="0.35">
      <c r="A37" s="486" t="s">
        <v>230</v>
      </c>
      <c r="B37" s="486"/>
      <c r="C37" s="486"/>
      <c r="D37" s="486"/>
      <c r="E37" s="486"/>
      <c r="F37" s="486"/>
      <c r="G37" s="486"/>
      <c r="H37" s="486"/>
      <c r="I37" s="486"/>
      <c r="J37" s="486"/>
      <c r="K37" s="486"/>
      <c r="L37" s="486"/>
      <c r="M37" s="486"/>
      <c r="N37" s="486"/>
    </row>
    <row r="38" spans="1:14" x14ac:dyDescent="0.3">
      <c r="A38" s="487" t="s">
        <v>32</v>
      </c>
      <c r="B38" s="489" t="s">
        <v>33</v>
      </c>
      <c r="C38" s="490"/>
      <c r="D38" s="490"/>
      <c r="E38" s="490"/>
      <c r="F38" s="490"/>
      <c r="G38" s="490"/>
      <c r="H38" s="490"/>
      <c r="I38" s="490"/>
      <c r="J38" s="490"/>
      <c r="K38" s="490"/>
      <c r="L38" s="490"/>
      <c r="M38" s="491"/>
      <c r="N38" s="492" t="s">
        <v>209</v>
      </c>
    </row>
    <row r="39" spans="1:14" ht="15" thickBot="1" x14ac:dyDescent="0.35">
      <c r="A39" s="488"/>
      <c r="B39" s="249" t="s">
        <v>34</v>
      </c>
      <c r="C39" s="266" t="s">
        <v>35</v>
      </c>
      <c r="D39" s="266" t="s">
        <v>36</v>
      </c>
      <c r="E39" s="266" t="s">
        <v>37</v>
      </c>
      <c r="F39" s="266" t="s">
        <v>38</v>
      </c>
      <c r="G39" s="266" t="s">
        <v>39</v>
      </c>
      <c r="H39" s="266" t="s">
        <v>40</v>
      </c>
      <c r="I39" s="266" t="s">
        <v>41</v>
      </c>
      <c r="J39" s="266" t="s">
        <v>42</v>
      </c>
      <c r="K39" s="266" t="s">
        <v>43</v>
      </c>
      <c r="L39" s="266" t="s">
        <v>44</v>
      </c>
      <c r="M39" s="266" t="s">
        <v>45</v>
      </c>
      <c r="N39" s="493"/>
    </row>
    <row r="40" spans="1:14" ht="24.6" thickBot="1" x14ac:dyDescent="0.35">
      <c r="A40" s="385" t="s">
        <v>232</v>
      </c>
      <c r="B40" s="386">
        <f>'Збір молока'!B29</f>
        <v>23.36</v>
      </c>
      <c r="C40" s="386">
        <f>'Збір молока'!C29</f>
        <v>28.992000000000001</v>
      </c>
      <c r="D40" s="386">
        <f>'Збір молока'!D29</f>
        <v>38.684800000000003</v>
      </c>
      <c r="E40" s="386">
        <f>'Збір молока'!E29</f>
        <v>40.572000000000003</v>
      </c>
      <c r="F40" s="386">
        <f>'Збір молока'!F29</f>
        <v>46.745600000000003</v>
      </c>
      <c r="G40" s="386">
        <f>'Збір молока'!G29</f>
        <v>47.409599999999998</v>
      </c>
      <c r="H40" s="386">
        <f>'Збір молока'!H29</f>
        <v>49.9664</v>
      </c>
      <c r="I40" s="386">
        <f>'Збір молока'!I29</f>
        <v>49.9664</v>
      </c>
      <c r="J40" s="386">
        <f>'Збір молока'!J29</f>
        <v>46.502400000000002</v>
      </c>
      <c r="K40" s="386">
        <f>'Збір молока'!K29</f>
        <v>44.856000000000002</v>
      </c>
      <c r="L40" s="386">
        <f>'Збір молока'!L29</f>
        <v>34.56</v>
      </c>
      <c r="M40" s="386">
        <f>'Збір молока'!M29</f>
        <v>29.119999999999997</v>
      </c>
      <c r="N40" s="387">
        <f>SUM(B40:M40)</f>
        <v>480.73520000000008</v>
      </c>
    </row>
    <row r="41" spans="1:14" x14ac:dyDescent="0.3">
      <c r="A41" s="164" t="s">
        <v>233</v>
      </c>
      <c r="B41" s="379">
        <f>Довідник!B$54*'Виробничий план'!B$40/100</f>
        <v>2.3359999999999999</v>
      </c>
      <c r="C41" s="379">
        <f>Довідник!C$54*'Виробничий план'!C$40/100</f>
        <v>2.8992</v>
      </c>
      <c r="D41" s="379">
        <f>Довідник!D$54*'Виробничий план'!D$40/100</f>
        <v>3.8684799999999999</v>
      </c>
      <c r="E41" s="379">
        <f>Довідник!E$54*'Виробничий план'!E$40/100</f>
        <v>4.0571999999999999</v>
      </c>
      <c r="F41" s="379">
        <f>Довідник!F$54*'Виробничий план'!F$40/100</f>
        <v>4.6745600000000005</v>
      </c>
      <c r="G41" s="379">
        <f>Довідник!G$54*'Виробничий план'!G$40/100</f>
        <v>4.7409600000000003</v>
      </c>
      <c r="H41" s="379">
        <f>Довідник!H$54*'Виробничий план'!H$40/100</f>
        <v>4.9966400000000002</v>
      </c>
      <c r="I41" s="379">
        <f>Довідник!I$54*'Виробничий план'!I$40/100</f>
        <v>4.9966400000000002</v>
      </c>
      <c r="J41" s="379">
        <f>Довідник!J$54*'Виробничий план'!J$40/100</f>
        <v>4.6502400000000002</v>
      </c>
      <c r="K41" s="379">
        <f>Довідник!K$54*'Виробничий план'!K$40/100</f>
        <v>4.4855999999999998</v>
      </c>
      <c r="L41" s="379">
        <f>Довідник!L$54*'Виробничий план'!L$40/100</f>
        <v>3.4560000000000004</v>
      </c>
      <c r="M41" s="379">
        <f>Довідник!M$54*'Виробничий план'!M$40/100</f>
        <v>2.9119999999999999</v>
      </c>
      <c r="N41" s="388">
        <f t="shared" ref="N41:N52" si="14">SUM(B41:M41)</f>
        <v>48.073520000000002</v>
      </c>
    </row>
    <row r="42" spans="1:14" ht="15" thickBot="1" x14ac:dyDescent="0.35">
      <c r="A42" s="389" t="str">
        <f>A6</f>
        <v>Молоко питне</v>
      </c>
      <c r="B42" s="390">
        <f>B$41/Довідник!$B$68</f>
        <v>2.3359999999999999</v>
      </c>
      <c r="C42" s="390">
        <f>C$41/Довідник!$B$68</f>
        <v>2.8992</v>
      </c>
      <c r="D42" s="390">
        <f>D$41/Довідник!$B$68</f>
        <v>3.8684799999999999</v>
      </c>
      <c r="E42" s="390">
        <f>E$41/Довідник!$B$68</f>
        <v>4.0571999999999999</v>
      </c>
      <c r="F42" s="390">
        <f>F$41/Довідник!$B$68</f>
        <v>4.6745600000000005</v>
      </c>
      <c r="G42" s="390">
        <f>G$41/Довідник!$B$68</f>
        <v>4.7409600000000003</v>
      </c>
      <c r="H42" s="390">
        <f>H$41/Довідник!$B$68</f>
        <v>4.9966400000000002</v>
      </c>
      <c r="I42" s="390">
        <f>I$41/Довідник!$B$68</f>
        <v>4.9966400000000002</v>
      </c>
      <c r="J42" s="390">
        <f>J$41/Довідник!$B$68</f>
        <v>4.6502400000000002</v>
      </c>
      <c r="K42" s="390">
        <f>K$41/Довідник!$B$68</f>
        <v>4.4855999999999998</v>
      </c>
      <c r="L42" s="390">
        <f>L$41/Довідник!$B$68</f>
        <v>3.4560000000000004</v>
      </c>
      <c r="M42" s="390">
        <f>M$41/Довідник!$B$68</f>
        <v>2.9119999999999999</v>
      </c>
      <c r="N42" s="391">
        <f t="shared" si="14"/>
        <v>48.073520000000002</v>
      </c>
    </row>
    <row r="43" spans="1:14" x14ac:dyDescent="0.3">
      <c r="A43" s="164" t="s">
        <v>233</v>
      </c>
      <c r="B43" s="379">
        <f>Довідник!B$55*'Виробничий план'!B$40/100</f>
        <v>4.6719999999999997</v>
      </c>
      <c r="C43" s="379">
        <f>Довідник!C$55*'Виробничий план'!C$40/100</f>
        <v>5.7984</v>
      </c>
      <c r="D43" s="379">
        <f>Довідник!D$55*'Виробничий план'!D$40/100</f>
        <v>7.7369599999999998</v>
      </c>
      <c r="E43" s="379">
        <f>Довідник!E$55*'Виробничий план'!E$40/100</f>
        <v>8.1143999999999998</v>
      </c>
      <c r="F43" s="379">
        <f>Довідник!F$55*'Виробничий план'!F$40/100</f>
        <v>9.349120000000001</v>
      </c>
      <c r="G43" s="379">
        <f>Довідник!G$55*'Виробничий план'!G$40/100</f>
        <v>9.4819200000000006</v>
      </c>
      <c r="H43" s="379">
        <f>Довідник!H$55*'Виробничий план'!H$40/100</f>
        <v>9.9932800000000004</v>
      </c>
      <c r="I43" s="379">
        <f>Довідник!I$55*'Виробничий план'!I$40/100</f>
        <v>9.9932800000000004</v>
      </c>
      <c r="J43" s="379">
        <f>Довідник!J$55*'Виробничий план'!J$40/100</f>
        <v>9.3004800000000003</v>
      </c>
      <c r="K43" s="379">
        <f>Довідник!K$55*'Виробничий план'!K$40/100</f>
        <v>8.9711999999999996</v>
      </c>
      <c r="L43" s="379">
        <f>Довідник!L$55*'Виробничий план'!L$40/100</f>
        <v>6.9120000000000008</v>
      </c>
      <c r="M43" s="379">
        <f>Довідник!M$55*'Виробничий план'!M$40/100</f>
        <v>5.8239999999999998</v>
      </c>
      <c r="N43" s="388">
        <f t="shared" si="14"/>
        <v>96.147040000000004</v>
      </c>
    </row>
    <row r="44" spans="1:14" ht="15" thickBot="1" x14ac:dyDescent="0.35">
      <c r="A44" s="389" t="str">
        <f>A8</f>
        <v>Сир кисломолочний</v>
      </c>
      <c r="B44" s="390">
        <f>B$43/Довідник!$B$69</f>
        <v>0.77866666666666662</v>
      </c>
      <c r="C44" s="390">
        <f>C$43/Довідник!$B$69</f>
        <v>0.96640000000000004</v>
      </c>
      <c r="D44" s="390">
        <f>D$43/Довідник!$B$69</f>
        <v>1.2894933333333334</v>
      </c>
      <c r="E44" s="390">
        <f>E$43/Довідник!$B$69</f>
        <v>1.3524</v>
      </c>
      <c r="F44" s="390">
        <f>F$43/Довідник!$B$69</f>
        <v>1.5581866666666668</v>
      </c>
      <c r="G44" s="390">
        <f>G$43/Довідник!$B$69</f>
        <v>1.5803200000000002</v>
      </c>
      <c r="H44" s="390">
        <f>H$43/Довідник!$B$69</f>
        <v>1.6655466666666667</v>
      </c>
      <c r="I44" s="390">
        <f>I$43/Довідник!$B$69</f>
        <v>1.6655466666666667</v>
      </c>
      <c r="J44" s="390">
        <f>J$43/Довідник!$B$69</f>
        <v>1.5500800000000001</v>
      </c>
      <c r="K44" s="390">
        <f>K$43/Довідник!$B$69</f>
        <v>1.4951999999999999</v>
      </c>
      <c r="L44" s="390">
        <f>L$43/Довідник!$B$69</f>
        <v>1.1520000000000001</v>
      </c>
      <c r="M44" s="390">
        <f>M$43/Довідник!$B$69</f>
        <v>0.97066666666666668</v>
      </c>
      <c r="N44" s="391">
        <f t="shared" si="14"/>
        <v>16.024506666666667</v>
      </c>
    </row>
    <row r="45" spans="1:14" x14ac:dyDescent="0.3">
      <c r="A45" s="164" t="s">
        <v>233</v>
      </c>
      <c r="B45" s="379">
        <f>Довідник!B$56*'Виробничий план'!B$40/100</f>
        <v>7.0079999999999991</v>
      </c>
      <c r="C45" s="379">
        <f>Довідник!C$56*'Виробничий план'!C$40/100</f>
        <v>8.6975999999999996</v>
      </c>
      <c r="D45" s="379">
        <f>Довідник!D$56*'Виробничий план'!D$40/100</f>
        <v>11.605440000000002</v>
      </c>
      <c r="E45" s="379">
        <f>Довідник!E$56*'Виробничий план'!E$40/100</f>
        <v>12.171600000000002</v>
      </c>
      <c r="F45" s="379">
        <f>Довідник!F$56*'Виробничий план'!F$40/100</f>
        <v>14.023680000000002</v>
      </c>
      <c r="G45" s="379">
        <f>Довідник!G$56*'Виробничий план'!G$40/100</f>
        <v>14.22288</v>
      </c>
      <c r="H45" s="379">
        <f>Довідник!H$56*'Виробничий план'!H$40/100</f>
        <v>14.98992</v>
      </c>
      <c r="I45" s="379">
        <f>Довідник!I$56*'Виробничий план'!I$40/100</f>
        <v>14.98992</v>
      </c>
      <c r="J45" s="379">
        <f>Довідник!J$56*'Виробничий план'!J$40/100</f>
        <v>13.95072</v>
      </c>
      <c r="K45" s="379">
        <f>Довідник!K$56*'Виробничий план'!K$40/100</f>
        <v>13.456800000000001</v>
      </c>
      <c r="L45" s="379">
        <f>Довідник!L$56*'Виробничий план'!L$40/100</f>
        <v>10.368000000000002</v>
      </c>
      <c r="M45" s="379">
        <f>Довідник!M$56*'Виробничий план'!M$40/100</f>
        <v>8.7359999999999989</v>
      </c>
      <c r="N45" s="388">
        <f t="shared" si="14"/>
        <v>144.22056000000001</v>
      </c>
    </row>
    <row r="46" spans="1:14" ht="15" thickBot="1" x14ac:dyDescent="0.35">
      <c r="A46" s="389" t="str">
        <f>A10</f>
        <v>Кефір</v>
      </c>
      <c r="B46" s="390">
        <f>B$45/Довідник!$B$70</f>
        <v>6.8038834951456302</v>
      </c>
      <c r="C46" s="390">
        <f>C$45/Довідник!$B$70</f>
        <v>8.444271844660193</v>
      </c>
      <c r="D46" s="390">
        <f>D$45/Довідник!$B$70</f>
        <v>11.267417475728157</v>
      </c>
      <c r="E46" s="390">
        <f>E$45/Довідник!$B$70</f>
        <v>11.817087378640778</v>
      </c>
      <c r="F46" s="390">
        <f>F$45/Довідник!$B$70</f>
        <v>13.615223300970875</v>
      </c>
      <c r="G46" s="390">
        <f>G$45/Довідник!$B$70</f>
        <v>13.8086213592233</v>
      </c>
      <c r="H46" s="390">
        <f>H$45/Довідник!$B$70</f>
        <v>14.553320388349514</v>
      </c>
      <c r="I46" s="390">
        <f>I$45/Довідник!$B$70</f>
        <v>14.553320388349514</v>
      </c>
      <c r="J46" s="390">
        <f>J$45/Довідник!$B$70</f>
        <v>13.544388349514563</v>
      </c>
      <c r="K46" s="390">
        <f>K$45/Довідник!$B$70</f>
        <v>13.064854368932039</v>
      </c>
      <c r="L46" s="390">
        <f>L$45/Довідник!$B$70</f>
        <v>10.066019417475729</v>
      </c>
      <c r="M46" s="390">
        <f>M$45/Довідник!$B$70</f>
        <v>8.4815533980582511</v>
      </c>
      <c r="N46" s="391">
        <f t="shared" si="14"/>
        <v>140.01996116504856</v>
      </c>
    </row>
    <row r="47" spans="1:14" x14ac:dyDescent="0.3">
      <c r="A47" s="164" t="s">
        <v>233</v>
      </c>
      <c r="B47" s="379">
        <f>Довідник!B$57*'Виробничий план'!B$40/100</f>
        <v>2.3359999999999999</v>
      </c>
      <c r="C47" s="379">
        <f>Довідник!C$57*'Виробничий план'!C$40/100</f>
        <v>2.8992</v>
      </c>
      <c r="D47" s="379">
        <f>Довідник!D$57*'Виробничий план'!D$40/100</f>
        <v>3.8684799999999999</v>
      </c>
      <c r="E47" s="379">
        <f>Довідник!E$57*'Виробничий план'!E$40/100</f>
        <v>4.0571999999999999</v>
      </c>
      <c r="F47" s="379">
        <f>Довідник!F$57*'Виробничий план'!F$40/100</f>
        <v>4.6745600000000005</v>
      </c>
      <c r="G47" s="379">
        <f>Довідник!G$57*'Виробничий план'!G$40/100</f>
        <v>4.7409600000000003</v>
      </c>
      <c r="H47" s="379">
        <f>Довідник!H$57*'Виробничий план'!H$40/100</f>
        <v>4.9966400000000002</v>
      </c>
      <c r="I47" s="379">
        <f>Довідник!I$57*'Виробничий план'!I$40/100</f>
        <v>4.9966400000000002</v>
      </c>
      <c r="J47" s="379">
        <f>Довідник!J$57*'Виробничий план'!J$40/100</f>
        <v>4.6502400000000002</v>
      </c>
      <c r="K47" s="379">
        <f>Довідник!K$57*'Виробничий план'!K$40/100</f>
        <v>4.4855999999999998</v>
      </c>
      <c r="L47" s="379">
        <f>Довідник!L$57*'Виробничий план'!L$40/100</f>
        <v>3.4560000000000004</v>
      </c>
      <c r="M47" s="379">
        <f>Довідник!M$57*'Виробничий план'!M$40/100</f>
        <v>2.9119999999999999</v>
      </c>
      <c r="N47" s="388">
        <f t="shared" si="14"/>
        <v>48.073520000000002</v>
      </c>
    </row>
    <row r="48" spans="1:14" ht="15" thickBot="1" x14ac:dyDescent="0.35">
      <c r="A48" s="389" t="str">
        <f>A12</f>
        <v>Сметана</v>
      </c>
      <c r="B48" s="390">
        <f>B$47/Довідник!$B$71</f>
        <v>0.33371428571428569</v>
      </c>
      <c r="C48" s="390">
        <f>C$47/Довідник!$B$71</f>
        <v>0.41417142857142858</v>
      </c>
      <c r="D48" s="390">
        <f>D$47/Довідник!$B$71</f>
        <v>0.55264000000000002</v>
      </c>
      <c r="E48" s="390">
        <f>E$47/Довідник!$B$71</f>
        <v>0.5796</v>
      </c>
      <c r="F48" s="390">
        <f>F$47/Довідник!$B$71</f>
        <v>0.66779428571428578</v>
      </c>
      <c r="G48" s="390">
        <f>G$47/Довідник!$B$71</f>
        <v>0.67727999999999999</v>
      </c>
      <c r="H48" s="390">
        <f>H$47/Довідник!$B$71</f>
        <v>0.71380571428571427</v>
      </c>
      <c r="I48" s="390">
        <f>I$47/Довідник!$B$71</f>
        <v>0.71380571428571427</v>
      </c>
      <c r="J48" s="390">
        <f>J$47/Довідник!$B$71</f>
        <v>0.66432000000000002</v>
      </c>
      <c r="K48" s="390">
        <f>K$47/Довідник!$B$71</f>
        <v>0.64079999999999993</v>
      </c>
      <c r="L48" s="390">
        <f>L$47/Довідник!$B$71</f>
        <v>0.49371428571428577</v>
      </c>
      <c r="M48" s="390">
        <f>M$47/Довідник!$B$71</f>
        <v>0.41599999999999998</v>
      </c>
      <c r="N48" s="391">
        <f t="shared" si="14"/>
        <v>6.8676457142857146</v>
      </c>
    </row>
    <row r="49" spans="1:14" x14ac:dyDescent="0.3">
      <c r="A49" s="164" t="s">
        <v>233</v>
      </c>
      <c r="B49" s="379">
        <f>Довідник!B$58*'Виробничий план'!B$40/100</f>
        <v>7.0079999999999991</v>
      </c>
      <c r="C49" s="379">
        <f>Довідник!C$58*'Виробничий план'!C$40/100</f>
        <v>8.6975999999999996</v>
      </c>
      <c r="D49" s="379">
        <f>Довідник!D$58*'Виробничий план'!D$40/100</f>
        <v>11.605440000000002</v>
      </c>
      <c r="E49" s="379">
        <f>Довідник!E$58*'Виробничий план'!E$40/100</f>
        <v>12.171600000000002</v>
      </c>
      <c r="F49" s="379">
        <f>Довідник!F$58*'Виробничий план'!F$40/100</f>
        <v>14.023680000000002</v>
      </c>
      <c r="G49" s="379">
        <f>Довідник!G$58*'Виробничий план'!G$40/100</f>
        <v>14.22288</v>
      </c>
      <c r="H49" s="379">
        <f>Довідник!H$58*'Виробничий план'!H$40/100</f>
        <v>14.98992</v>
      </c>
      <c r="I49" s="379">
        <f>Довідник!I$58*'Виробничий план'!I$40/100</f>
        <v>14.98992</v>
      </c>
      <c r="J49" s="379">
        <f>Довідник!J$58*'Виробничий план'!J$40/100</f>
        <v>13.95072</v>
      </c>
      <c r="K49" s="379">
        <f>Довідник!K$58*'Виробничий план'!K$40/100</f>
        <v>13.456800000000001</v>
      </c>
      <c r="L49" s="379">
        <f>Довідник!L$58*'Виробничий план'!L$40/100</f>
        <v>10.368000000000002</v>
      </c>
      <c r="M49" s="379">
        <f>Довідник!M$58*'Виробничий план'!M$40/100</f>
        <v>8.7359999999999989</v>
      </c>
      <c r="N49" s="388">
        <f t="shared" si="14"/>
        <v>144.22056000000001</v>
      </c>
    </row>
    <row r="50" spans="1:14" ht="15" thickBot="1" x14ac:dyDescent="0.35">
      <c r="A50" s="389" t="str">
        <f>A14</f>
        <v>Сир м'який</v>
      </c>
      <c r="B50" s="390">
        <f>B$49/Довідник!$B$72</f>
        <v>1.1679999999999999</v>
      </c>
      <c r="C50" s="390">
        <f>C$49/Довідник!$B$72</f>
        <v>1.4496</v>
      </c>
      <c r="D50" s="390">
        <f>D$49/Довідник!$B$72</f>
        <v>1.9342400000000002</v>
      </c>
      <c r="E50" s="390">
        <f>E$49/Довідник!$B$72</f>
        <v>2.0286000000000004</v>
      </c>
      <c r="F50" s="390">
        <f>F$49/Довідник!$B$72</f>
        <v>2.3372800000000002</v>
      </c>
      <c r="G50" s="390">
        <f>G$49/Довідник!$B$72</f>
        <v>2.3704800000000001</v>
      </c>
      <c r="H50" s="390">
        <f>H$49/Довідник!$B$72</f>
        <v>2.4983200000000001</v>
      </c>
      <c r="I50" s="390">
        <f>I$49/Довідник!$B$72</f>
        <v>2.4983200000000001</v>
      </c>
      <c r="J50" s="390">
        <f>J$49/Довідник!$B$72</f>
        <v>2.3251200000000001</v>
      </c>
      <c r="K50" s="390">
        <f>K$49/Довідник!$B$72</f>
        <v>2.2428000000000003</v>
      </c>
      <c r="L50" s="390">
        <f>L$49/Довідник!$B$72</f>
        <v>1.7280000000000004</v>
      </c>
      <c r="M50" s="390">
        <f>M$49/Довідник!$B$72</f>
        <v>1.4559999999999997</v>
      </c>
      <c r="N50" s="391">
        <f t="shared" si="14"/>
        <v>24.036760000000001</v>
      </c>
    </row>
    <row r="51" spans="1:14" x14ac:dyDescent="0.3">
      <c r="A51" s="164" t="s">
        <v>234</v>
      </c>
      <c r="B51" s="379">
        <f>(B40-B42-B44-B46-B48-B50)*0.6</f>
        <v>7.1638413314840514</v>
      </c>
      <c r="C51" s="379">
        <f t="shared" ref="C51" si="15">(C40-C42-C44-C46-C48-C50)*0.6</f>
        <v>8.8910140360610264</v>
      </c>
      <c r="D51" s="379">
        <f t="shared" ref="D51" si="16">(D40-D42-D44-D46-D48-D50)*0.6</f>
        <v>11.863517514563108</v>
      </c>
      <c r="E51" s="379">
        <f t="shared" ref="E51" si="17">(E40-E42-E44-E46-E48-E50)*0.6</f>
        <v>12.442267572815531</v>
      </c>
      <c r="F51" s="379">
        <f t="shared" ref="F51" si="18">(F40-F42-F44-F46-F48-F50)*0.6</f>
        <v>14.335533447988906</v>
      </c>
      <c r="G51" s="379">
        <f t="shared" ref="G51" si="19">(G40-G42-G44-G46-G48-G50)*0.6</f>
        <v>14.539163184466016</v>
      </c>
      <c r="H51" s="379">
        <f t="shared" ref="H51" si="20">(H40-H42-H44-H46-H48-H50)*0.6</f>
        <v>15.323260338418866</v>
      </c>
      <c r="I51" s="379">
        <f t="shared" ref="I51" si="21">(I40-I42-I44-I46-I48-I50)*0.6</f>
        <v>15.323260338418866</v>
      </c>
      <c r="J51" s="379">
        <f t="shared" ref="J51" si="22">(J40-J42-J44-J46-J48-J50)*0.6</f>
        <v>14.260950990291258</v>
      </c>
      <c r="K51" s="379">
        <f t="shared" ref="K51" si="23">(K40-K42-K44-K46-K48-K50)*0.6</f>
        <v>13.756047378640782</v>
      </c>
      <c r="L51" s="379">
        <f t="shared" ref="L51" si="24">(L40-L42-L44-L46-L48-L50)*0.6</f>
        <v>10.59855977808599</v>
      </c>
      <c r="M51" s="379">
        <f t="shared" ref="M51" si="25">(M40-M42-M44-M46-M48-M50)*0.6</f>
        <v>8.9302679611650468</v>
      </c>
      <c r="N51" s="388">
        <f t="shared" si="14"/>
        <v>147.42768387239946</v>
      </c>
    </row>
    <row r="52" spans="1:14" ht="15" thickBot="1" x14ac:dyDescent="0.35">
      <c r="A52" s="389" t="str">
        <f>A16</f>
        <v>Сир Рікотта</v>
      </c>
      <c r="B52" s="392">
        <f>B$51*Довідник!$B$75</f>
        <v>0.35819206657420261</v>
      </c>
      <c r="C52" s="392">
        <f>C$51*Довідник!$B$75</f>
        <v>0.44455070180305134</v>
      </c>
      <c r="D52" s="392">
        <f>D$51*Довідник!$B$75</f>
        <v>0.59317587572815544</v>
      </c>
      <c r="E52" s="392">
        <f>E$51*Довідник!$B$75</f>
        <v>0.62211337864077665</v>
      </c>
      <c r="F52" s="392">
        <f>F$51*Довідник!$B$75</f>
        <v>0.71677667239944531</v>
      </c>
      <c r="G52" s="392">
        <f>G$51*Довідник!$B$75</f>
        <v>0.72695815922330087</v>
      </c>
      <c r="H52" s="392">
        <f>H$51*Довідник!$B$75</f>
        <v>0.76616301692094335</v>
      </c>
      <c r="I52" s="392">
        <f>I$51*Довідник!$B$75</f>
        <v>0.76616301692094335</v>
      </c>
      <c r="J52" s="392">
        <f>J$51*Довідник!$B$75</f>
        <v>0.71304754951456295</v>
      </c>
      <c r="K52" s="392">
        <f>K$51*Довідник!$B$75</f>
        <v>0.68780236893203917</v>
      </c>
      <c r="L52" s="392">
        <f>L$51*Довідник!$B$75</f>
        <v>0.52992798890429949</v>
      </c>
      <c r="M52" s="392">
        <f>M$51*Довідник!$B$75</f>
        <v>0.44651339805825235</v>
      </c>
      <c r="N52" s="391">
        <f t="shared" si="14"/>
        <v>7.3713841936199733</v>
      </c>
    </row>
  </sheetData>
  <sheetProtection algorithmName="SHA-512" hashValue="6GFSMllJ6G0Fi9JRiP6i0whBX9JgNLXWfj1Ux1i/VHR6Hoqa22qq5jj+ceiKwlJMZVwgtJEtoEUfyAWNkbJV4Q==" saltValue="sqsbgumd2eCGT1n25JHpug==" spinCount="100000" sheet="1" objects="1" scenarios="1"/>
  <mergeCells count="15">
    <mergeCell ref="A1:N1"/>
    <mergeCell ref="A2:A3"/>
    <mergeCell ref="B2:M2"/>
    <mergeCell ref="N2:N3"/>
    <mergeCell ref="A19:N19"/>
    <mergeCell ref="Q2:R2"/>
    <mergeCell ref="Q3:V5"/>
    <mergeCell ref="A37:N37"/>
    <mergeCell ref="A38:A39"/>
    <mergeCell ref="B38:M38"/>
    <mergeCell ref="N38:N39"/>
    <mergeCell ref="A20:A21"/>
    <mergeCell ref="B20:M20"/>
    <mergeCell ref="N20:N21"/>
    <mergeCell ref="Q7:U17"/>
  </mergeCells>
  <pageMargins left="0.7" right="0.7" top="0.75" bottom="0.75" header="0.3" footer="0.3"/>
  <pageSetup paperSize="9" orientation="portrait" horizontalDpi="300" verticalDpi="0" copies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V70"/>
  <sheetViews>
    <sheetView workbookViewId="0">
      <selection activeCell="Q22" sqref="Q22"/>
    </sheetView>
  </sheetViews>
  <sheetFormatPr defaultColWidth="9.109375" defaultRowHeight="14.4" x14ac:dyDescent="0.3"/>
  <cols>
    <col min="1" max="1" width="27.33203125" style="251" customWidth="1"/>
    <col min="2" max="13" width="9.109375" style="251"/>
    <col min="14" max="14" width="9.44140625" style="251" customWidth="1"/>
    <col min="15" max="16384" width="9.109375" style="251"/>
  </cols>
  <sheetData>
    <row r="1" spans="1:22" ht="15" thickBot="1" x14ac:dyDescent="0.35">
      <c r="A1" s="486" t="s">
        <v>235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</row>
    <row r="2" spans="1:22" x14ac:dyDescent="0.3">
      <c r="A2" s="487" t="s">
        <v>32</v>
      </c>
      <c r="B2" s="489" t="s">
        <v>33</v>
      </c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1"/>
      <c r="N2" s="492" t="s">
        <v>209</v>
      </c>
      <c r="Q2" s="481" t="s">
        <v>127</v>
      </c>
      <c r="R2" s="481"/>
      <c r="S2" s="426"/>
      <c r="T2" s="426"/>
      <c r="U2" s="426"/>
      <c r="V2" s="426"/>
    </row>
    <row r="3" spans="1:22" ht="15" thickBot="1" x14ac:dyDescent="0.35">
      <c r="A3" s="502"/>
      <c r="B3" s="294" t="s">
        <v>34</v>
      </c>
      <c r="C3" s="295" t="s">
        <v>35</v>
      </c>
      <c r="D3" s="295" t="s">
        <v>36</v>
      </c>
      <c r="E3" s="295" t="s">
        <v>37</v>
      </c>
      <c r="F3" s="295" t="s">
        <v>38</v>
      </c>
      <c r="G3" s="295" t="s">
        <v>39</v>
      </c>
      <c r="H3" s="295" t="s">
        <v>40</v>
      </c>
      <c r="I3" s="295" t="s">
        <v>41</v>
      </c>
      <c r="J3" s="295" t="s">
        <v>42</v>
      </c>
      <c r="K3" s="295" t="s">
        <v>43</v>
      </c>
      <c r="L3" s="295" t="s">
        <v>44</v>
      </c>
      <c r="M3" s="295" t="s">
        <v>45</v>
      </c>
      <c r="N3" s="503"/>
      <c r="Q3" s="481" t="s">
        <v>231</v>
      </c>
      <c r="R3" s="481"/>
      <c r="S3" s="481"/>
      <c r="T3" s="481"/>
      <c r="U3" s="481"/>
      <c r="V3" s="481"/>
    </row>
    <row r="4" spans="1:22" x14ac:dyDescent="0.3">
      <c r="A4" s="164" t="str">
        <f>'Виробничий план'!A6</f>
        <v>Молоко питне</v>
      </c>
      <c r="B4" s="379">
        <f>'Виробничий план'!B6</f>
        <v>0.28799999999999998</v>
      </c>
      <c r="C4" s="379">
        <f>'Виробничий план'!C6</f>
        <v>0.36799999999999999</v>
      </c>
      <c r="D4" s="379">
        <f>'Виробничий план'!D6</f>
        <v>0.59487999999999996</v>
      </c>
      <c r="E4" s="379">
        <f>'Виробничий план'!E6</f>
        <v>0.84671999999999992</v>
      </c>
      <c r="F4" s="379">
        <f>'Виробничий план'!F6</f>
        <v>1.2143999999999999</v>
      </c>
      <c r="G4" s="379">
        <f>'Виробничий план'!G6</f>
        <v>1.50528</v>
      </c>
      <c r="H4" s="379">
        <f>'Виробничий план'!H6</f>
        <v>1.85856</v>
      </c>
      <c r="I4" s="379">
        <f>'Виробничий план'!I6</f>
        <v>1.8744000000000001</v>
      </c>
      <c r="J4" s="379">
        <f>'Виробничий план'!J6</f>
        <v>1.9051199999999999</v>
      </c>
      <c r="K4" s="379">
        <f>'Виробничий план'!K6</f>
        <v>1.7337600000000004</v>
      </c>
      <c r="L4" s="379">
        <f>'Виробничий план'!L6</f>
        <v>1.456</v>
      </c>
      <c r="M4" s="379">
        <f>'Виробничий план'!M6</f>
        <v>1.3824000000000001</v>
      </c>
      <c r="N4" s="380">
        <f>SUM(B4:M4)</f>
        <v>15.027520000000001</v>
      </c>
      <c r="Q4" s="481"/>
      <c r="R4" s="481"/>
      <c r="S4" s="481"/>
      <c r="T4" s="481"/>
      <c r="U4" s="481"/>
      <c r="V4" s="481"/>
    </row>
    <row r="5" spans="1:22" x14ac:dyDescent="0.3">
      <c r="A5" s="150" t="s">
        <v>236</v>
      </c>
      <c r="B5" s="381">
        <f>Довідник!B$82</f>
        <v>24</v>
      </c>
      <c r="C5" s="381">
        <f>Довідник!C$82</f>
        <v>24</v>
      </c>
      <c r="D5" s="381">
        <f>Довідник!D$82</f>
        <v>24</v>
      </c>
      <c r="E5" s="381">
        <f>Довідник!E$82</f>
        <v>24</v>
      </c>
      <c r="F5" s="381">
        <f>Довідник!F$82</f>
        <v>24</v>
      </c>
      <c r="G5" s="381">
        <f>Довідник!G$82</f>
        <v>24</v>
      </c>
      <c r="H5" s="381">
        <f>Довідник!H$82</f>
        <v>24</v>
      </c>
      <c r="I5" s="381">
        <f>Довідник!I$82</f>
        <v>24</v>
      </c>
      <c r="J5" s="381">
        <f>Довідник!J$82</f>
        <v>24</v>
      </c>
      <c r="K5" s="381">
        <f>Довідник!K$82</f>
        <v>24</v>
      </c>
      <c r="L5" s="381">
        <f>Довідник!L$82</f>
        <v>24</v>
      </c>
      <c r="M5" s="381">
        <f>Довідник!M$82</f>
        <v>24</v>
      </c>
      <c r="N5" s="382">
        <f>N6/N4/1000</f>
        <v>23.999999999999996</v>
      </c>
      <c r="Q5" s="481"/>
      <c r="R5" s="481"/>
      <c r="S5" s="481"/>
      <c r="T5" s="481"/>
      <c r="U5" s="481"/>
      <c r="V5" s="481"/>
    </row>
    <row r="6" spans="1:22" ht="15" thickBot="1" x14ac:dyDescent="0.35">
      <c r="A6" s="171" t="s">
        <v>237</v>
      </c>
      <c r="B6" s="383">
        <f>B4*B5*1000</f>
        <v>6911.9999999999991</v>
      </c>
      <c r="C6" s="383">
        <f t="shared" ref="C6:M6" si="0">C4*C5*1000</f>
        <v>8832</v>
      </c>
      <c r="D6" s="383">
        <f t="shared" si="0"/>
        <v>14277.12</v>
      </c>
      <c r="E6" s="383">
        <f t="shared" si="0"/>
        <v>20321.28</v>
      </c>
      <c r="F6" s="383">
        <f t="shared" si="0"/>
        <v>29145.599999999999</v>
      </c>
      <c r="G6" s="383">
        <f t="shared" si="0"/>
        <v>36126.720000000001</v>
      </c>
      <c r="H6" s="383">
        <f t="shared" si="0"/>
        <v>44605.440000000002</v>
      </c>
      <c r="I6" s="383">
        <f t="shared" si="0"/>
        <v>44985.600000000006</v>
      </c>
      <c r="J6" s="383">
        <f t="shared" si="0"/>
        <v>45722.879999999997</v>
      </c>
      <c r="K6" s="383">
        <f t="shared" si="0"/>
        <v>41610.240000000013</v>
      </c>
      <c r="L6" s="383">
        <f t="shared" si="0"/>
        <v>34944</v>
      </c>
      <c r="M6" s="383">
        <f t="shared" si="0"/>
        <v>33177.599999999999</v>
      </c>
      <c r="N6" s="384">
        <f>SUM(B6:M6)</f>
        <v>360660.47999999998</v>
      </c>
    </row>
    <row r="7" spans="1:22" x14ac:dyDescent="0.3">
      <c r="A7" s="164" t="str">
        <f>'Виробничий план'!A8</f>
        <v>Сир кисломолочний</v>
      </c>
      <c r="B7" s="379">
        <f>'Виробничий план'!B8</f>
        <v>9.5999999999999988E-2</v>
      </c>
      <c r="C7" s="379">
        <f>'Виробничий план'!C8</f>
        <v>0.12266666666666666</v>
      </c>
      <c r="D7" s="379">
        <f>'Виробничий план'!D8</f>
        <v>0.19829333333333332</v>
      </c>
      <c r="E7" s="379">
        <f>'Виробничий план'!E8</f>
        <v>0.28223999999999999</v>
      </c>
      <c r="F7" s="379">
        <f>'Виробничий план'!F8</f>
        <v>0.40479999999999999</v>
      </c>
      <c r="G7" s="379">
        <f>'Виробничий план'!G8</f>
        <v>0.50175999999999998</v>
      </c>
      <c r="H7" s="379">
        <f>'Виробничий план'!H8</f>
        <v>0.61951999999999996</v>
      </c>
      <c r="I7" s="379">
        <f>'Виробничий план'!I8</f>
        <v>0.62480000000000002</v>
      </c>
      <c r="J7" s="379">
        <f>'Виробничий план'!J8</f>
        <v>0.63503999999999994</v>
      </c>
      <c r="K7" s="379">
        <f>'Виробничий план'!K8</f>
        <v>0.5779200000000001</v>
      </c>
      <c r="L7" s="379">
        <f>'Виробничий план'!L8</f>
        <v>0.48533333333333334</v>
      </c>
      <c r="M7" s="379">
        <f>'Виробничий план'!M8</f>
        <v>0.46080000000000004</v>
      </c>
      <c r="N7" s="380">
        <f>SUM(B7:M7)</f>
        <v>5.009173333333333</v>
      </c>
      <c r="Q7" s="494" t="s">
        <v>391</v>
      </c>
      <c r="R7" s="494"/>
      <c r="S7" s="494"/>
      <c r="T7" s="494"/>
      <c r="U7" s="494"/>
    </row>
    <row r="8" spans="1:22" x14ac:dyDescent="0.3">
      <c r="A8" s="150" t="s">
        <v>238</v>
      </c>
      <c r="B8" s="381">
        <f>Довідник!B$83</f>
        <v>145</v>
      </c>
      <c r="C8" s="381">
        <f>Довідник!C$83</f>
        <v>145</v>
      </c>
      <c r="D8" s="381">
        <f>Довідник!D$83</f>
        <v>145</v>
      </c>
      <c r="E8" s="381">
        <f>Довідник!E$83</f>
        <v>145</v>
      </c>
      <c r="F8" s="381">
        <f>Довідник!F$83</f>
        <v>145</v>
      </c>
      <c r="G8" s="381">
        <f>Довідник!G$83</f>
        <v>145</v>
      </c>
      <c r="H8" s="381">
        <f>Довідник!H$83</f>
        <v>145</v>
      </c>
      <c r="I8" s="381">
        <f>Довідник!I$83</f>
        <v>145</v>
      </c>
      <c r="J8" s="381">
        <f>Довідник!J$83</f>
        <v>145</v>
      </c>
      <c r="K8" s="381">
        <f>Довідник!K$83</f>
        <v>145</v>
      </c>
      <c r="L8" s="381">
        <f>Довідник!L$83</f>
        <v>145</v>
      </c>
      <c r="M8" s="381">
        <f>Довідник!M$83</f>
        <v>145</v>
      </c>
      <c r="N8" s="382">
        <f>N9/N7/1000</f>
        <v>145</v>
      </c>
      <c r="Q8" s="494"/>
      <c r="R8" s="494"/>
      <c r="S8" s="494"/>
      <c r="T8" s="494"/>
      <c r="U8" s="494"/>
    </row>
    <row r="9" spans="1:22" ht="15" thickBot="1" x14ac:dyDescent="0.35">
      <c r="A9" s="171" t="s">
        <v>239</v>
      </c>
      <c r="B9" s="383">
        <f>B7*B8*1000</f>
        <v>13919.999999999998</v>
      </c>
      <c r="C9" s="383">
        <f t="shared" ref="C9:M9" si="1">C7*C8*1000</f>
        <v>17786.666666666664</v>
      </c>
      <c r="D9" s="383">
        <f t="shared" si="1"/>
        <v>28752.533333333333</v>
      </c>
      <c r="E9" s="383">
        <f t="shared" si="1"/>
        <v>40924.799999999996</v>
      </c>
      <c r="F9" s="383">
        <f t="shared" si="1"/>
        <v>58696</v>
      </c>
      <c r="G9" s="383">
        <f t="shared" si="1"/>
        <v>72755.199999999997</v>
      </c>
      <c r="H9" s="383">
        <f t="shared" si="1"/>
        <v>89830.399999999994</v>
      </c>
      <c r="I9" s="383">
        <f t="shared" si="1"/>
        <v>90596</v>
      </c>
      <c r="J9" s="383">
        <f t="shared" si="1"/>
        <v>92080.8</v>
      </c>
      <c r="K9" s="383">
        <f t="shared" si="1"/>
        <v>83798.400000000009</v>
      </c>
      <c r="L9" s="383">
        <f t="shared" si="1"/>
        <v>70373.333333333328</v>
      </c>
      <c r="M9" s="383">
        <f t="shared" si="1"/>
        <v>66816</v>
      </c>
      <c r="N9" s="384">
        <f>SUM(B9:M9)</f>
        <v>726330.1333333333</v>
      </c>
      <c r="Q9" s="494"/>
      <c r="R9" s="494"/>
      <c r="S9" s="494"/>
      <c r="T9" s="494"/>
      <c r="U9" s="494"/>
    </row>
    <row r="10" spans="1:22" x14ac:dyDescent="0.3">
      <c r="A10" s="164" t="str">
        <f>'Виробничий план'!A10</f>
        <v>Кефір</v>
      </c>
      <c r="B10" s="379">
        <f>'Виробничий план'!B10</f>
        <v>0.8388349514563106</v>
      </c>
      <c r="C10" s="379">
        <f>'Виробничий план'!C10</f>
        <v>1.0718446601941747</v>
      </c>
      <c r="D10" s="379">
        <f>'Виробничий план'!D10</f>
        <v>1.7326601941747573</v>
      </c>
      <c r="E10" s="379">
        <f>'Виробничий план'!E10</f>
        <v>2.4661747572815531</v>
      </c>
      <c r="F10" s="379">
        <f>'Виробничий план'!F10</f>
        <v>3.5370873786407766</v>
      </c>
      <c r="G10" s="379">
        <f>'Виробничий план'!G10</f>
        <v>4.3843106796116507</v>
      </c>
      <c r="H10" s="379">
        <f>'Виробничий план'!H10</f>
        <v>5.4132815533980585</v>
      </c>
      <c r="I10" s="379">
        <f>'Виробничий план'!I10</f>
        <v>5.4594174757281548</v>
      </c>
      <c r="J10" s="379">
        <f>'Виробничий план'!J10</f>
        <v>5.5488932038834955</v>
      </c>
      <c r="K10" s="379">
        <f>'Виробничий план'!K10</f>
        <v>5.0497864077669909</v>
      </c>
      <c r="L10" s="379">
        <f>'Виробничий план'!L10</f>
        <v>4.2407766990291256</v>
      </c>
      <c r="M10" s="379">
        <f>'Виробничий план'!M10</f>
        <v>4.0264077669902916</v>
      </c>
      <c r="N10" s="380">
        <f>SUM(B10:M10)</f>
        <v>43.769475728155342</v>
      </c>
      <c r="Q10" s="494"/>
      <c r="R10" s="494"/>
      <c r="S10" s="494"/>
      <c r="T10" s="494"/>
      <c r="U10" s="494"/>
    </row>
    <row r="11" spans="1:22" x14ac:dyDescent="0.3">
      <c r="A11" s="150" t="s">
        <v>238</v>
      </c>
      <c r="B11" s="381">
        <f>Довідник!B$84</f>
        <v>28</v>
      </c>
      <c r="C11" s="381">
        <f>Довідник!C$84</f>
        <v>28</v>
      </c>
      <c r="D11" s="381">
        <f>Довідник!D$84</f>
        <v>28</v>
      </c>
      <c r="E11" s="381">
        <f>Довідник!E$84</f>
        <v>28</v>
      </c>
      <c r="F11" s="381">
        <f>Довідник!F$84</f>
        <v>28</v>
      </c>
      <c r="G11" s="381">
        <f>Довідник!G$84</f>
        <v>28</v>
      </c>
      <c r="H11" s="381">
        <f>Довідник!H$84</f>
        <v>28</v>
      </c>
      <c r="I11" s="381">
        <f>Довідник!I$84</f>
        <v>28</v>
      </c>
      <c r="J11" s="381">
        <f>Довідник!J$84</f>
        <v>28</v>
      </c>
      <c r="K11" s="381">
        <f>Довідник!K$84</f>
        <v>28</v>
      </c>
      <c r="L11" s="381">
        <f>Довідник!L$84</f>
        <v>28</v>
      </c>
      <c r="M11" s="381">
        <f>Довідник!M$84</f>
        <v>28</v>
      </c>
      <c r="N11" s="382">
        <f>N12/N10/1000</f>
        <v>27.999999999999996</v>
      </c>
      <c r="Q11" s="494"/>
      <c r="R11" s="494"/>
      <c r="S11" s="494"/>
      <c r="T11" s="494"/>
      <c r="U11" s="494"/>
    </row>
    <row r="12" spans="1:22" ht="15" thickBot="1" x14ac:dyDescent="0.35">
      <c r="A12" s="171" t="s">
        <v>240</v>
      </c>
      <c r="B12" s="383">
        <f>B10*B11*1000</f>
        <v>23487.378640776697</v>
      </c>
      <c r="C12" s="383">
        <f t="shared" ref="C12:M12" si="2">C10*C11*1000</f>
        <v>30011.65048543689</v>
      </c>
      <c r="D12" s="383">
        <f t="shared" si="2"/>
        <v>48514.485436893206</v>
      </c>
      <c r="E12" s="383">
        <f t="shared" si="2"/>
        <v>69052.89320388349</v>
      </c>
      <c r="F12" s="383">
        <f t="shared" si="2"/>
        <v>99038.446601941745</v>
      </c>
      <c r="G12" s="383">
        <f t="shared" si="2"/>
        <v>122760.69902912622</v>
      </c>
      <c r="H12" s="383">
        <f t="shared" si="2"/>
        <v>151571.88349514565</v>
      </c>
      <c r="I12" s="383">
        <f t="shared" si="2"/>
        <v>152863.68932038834</v>
      </c>
      <c r="J12" s="383">
        <f t="shared" si="2"/>
        <v>155369.00970873787</v>
      </c>
      <c r="K12" s="383">
        <f t="shared" si="2"/>
        <v>141394.01941747576</v>
      </c>
      <c r="L12" s="383">
        <f t="shared" si="2"/>
        <v>118741.74757281551</v>
      </c>
      <c r="M12" s="383">
        <f t="shared" si="2"/>
        <v>112739.41747572816</v>
      </c>
      <c r="N12" s="384">
        <f>SUM(B12:M12)</f>
        <v>1225545.3203883495</v>
      </c>
      <c r="Q12" s="494"/>
      <c r="R12" s="494"/>
      <c r="S12" s="494"/>
      <c r="T12" s="494"/>
      <c r="U12" s="494"/>
    </row>
    <row r="13" spans="1:22" x14ac:dyDescent="0.3">
      <c r="A13" s="164" t="str">
        <f>'Виробничий план'!A12</f>
        <v>Сметана</v>
      </c>
      <c r="B13" s="379">
        <f>'Виробничий план'!B12</f>
        <v>4.1142857142857141E-2</v>
      </c>
      <c r="C13" s="379">
        <f>'Виробничий план'!C12</f>
        <v>5.2571428571428568E-2</v>
      </c>
      <c r="D13" s="379">
        <f>'Виробничий план'!D12</f>
        <v>8.4982857142857138E-2</v>
      </c>
      <c r="E13" s="379">
        <f>'Виробничий план'!E12</f>
        <v>0.12095999999999998</v>
      </c>
      <c r="F13" s="379">
        <f>'Виробничий план'!F12</f>
        <v>0.17348571428571427</v>
      </c>
      <c r="G13" s="379">
        <f>'Виробничий план'!G12</f>
        <v>0.21503999999999998</v>
      </c>
      <c r="H13" s="379">
        <f>'Виробничий план'!H12</f>
        <v>0.26550857142857143</v>
      </c>
      <c r="I13" s="379">
        <f>'Виробничий план'!I12</f>
        <v>0.2677714285714286</v>
      </c>
      <c r="J13" s="379">
        <f>'Виробничий план'!J12</f>
        <v>0.27216000000000001</v>
      </c>
      <c r="K13" s="379">
        <f>'Виробничий план'!K12</f>
        <v>0.24768000000000007</v>
      </c>
      <c r="L13" s="379">
        <f>'Виробничий план'!L12</f>
        <v>0.20799999999999999</v>
      </c>
      <c r="M13" s="379">
        <f>'Виробничий план'!M12</f>
        <v>0.19748571428571429</v>
      </c>
      <c r="N13" s="380">
        <f>SUM(B13:M13)</f>
        <v>2.1467885714285715</v>
      </c>
      <c r="Q13" s="494"/>
      <c r="R13" s="494"/>
      <c r="S13" s="494"/>
      <c r="T13" s="494"/>
      <c r="U13" s="494"/>
    </row>
    <row r="14" spans="1:22" x14ac:dyDescent="0.3">
      <c r="A14" s="150" t="s">
        <v>238</v>
      </c>
      <c r="B14" s="381">
        <f>Довідник!B$85</f>
        <v>95</v>
      </c>
      <c r="C14" s="381">
        <f>Довідник!C$85</f>
        <v>95</v>
      </c>
      <c r="D14" s="381">
        <f>Довідник!D$85</f>
        <v>95</v>
      </c>
      <c r="E14" s="381">
        <f>Довідник!E$85</f>
        <v>95</v>
      </c>
      <c r="F14" s="381">
        <f>Довідник!F$85</f>
        <v>95</v>
      </c>
      <c r="G14" s="381">
        <f>Довідник!G$85</f>
        <v>95</v>
      </c>
      <c r="H14" s="381">
        <f>Довідник!H$85</f>
        <v>95</v>
      </c>
      <c r="I14" s="381">
        <f>Довідник!I$85</f>
        <v>95</v>
      </c>
      <c r="J14" s="381">
        <f>Довідник!J$85</f>
        <v>95</v>
      </c>
      <c r="K14" s="381">
        <f>Довідник!K$85</f>
        <v>95</v>
      </c>
      <c r="L14" s="381">
        <f>Довідник!L$85</f>
        <v>95</v>
      </c>
      <c r="M14" s="381">
        <f>Довідник!M$85</f>
        <v>95</v>
      </c>
      <c r="N14" s="382">
        <f>N15/N13/1000</f>
        <v>95</v>
      </c>
      <c r="Q14" s="494"/>
      <c r="R14" s="494"/>
      <c r="S14" s="494"/>
      <c r="T14" s="494"/>
      <c r="U14" s="494"/>
    </row>
    <row r="15" spans="1:22" ht="15" thickBot="1" x14ac:dyDescent="0.35">
      <c r="A15" s="171" t="s">
        <v>241</v>
      </c>
      <c r="B15" s="383">
        <f>B13*B14*1000</f>
        <v>3908.5714285714284</v>
      </c>
      <c r="C15" s="383">
        <f t="shared" ref="C15:M15" si="3">C13*C14*1000</f>
        <v>4994.2857142857138</v>
      </c>
      <c r="D15" s="383">
        <f t="shared" si="3"/>
        <v>8073.3714285714286</v>
      </c>
      <c r="E15" s="383">
        <f t="shared" si="3"/>
        <v>11491.199999999999</v>
      </c>
      <c r="F15" s="383">
        <f t="shared" si="3"/>
        <v>16481.142857142855</v>
      </c>
      <c r="G15" s="383">
        <f t="shared" si="3"/>
        <v>20428.8</v>
      </c>
      <c r="H15" s="383">
        <f t="shared" si="3"/>
        <v>25223.314285714285</v>
      </c>
      <c r="I15" s="383">
        <f t="shared" si="3"/>
        <v>25438.285714285717</v>
      </c>
      <c r="J15" s="383">
        <f t="shared" si="3"/>
        <v>25855.200000000001</v>
      </c>
      <c r="K15" s="383">
        <f t="shared" si="3"/>
        <v>23529.600000000006</v>
      </c>
      <c r="L15" s="383">
        <f t="shared" si="3"/>
        <v>19759.999999999996</v>
      </c>
      <c r="M15" s="383">
        <f t="shared" si="3"/>
        <v>18761.142857142859</v>
      </c>
      <c r="N15" s="384">
        <f>SUM(B15:M15)</f>
        <v>203944.9142857143</v>
      </c>
      <c r="Q15" s="494"/>
      <c r="R15" s="494"/>
      <c r="S15" s="494"/>
      <c r="T15" s="494"/>
      <c r="U15" s="494"/>
    </row>
    <row r="16" spans="1:22" x14ac:dyDescent="0.3">
      <c r="A16" s="164" t="str">
        <f>'Виробничий план'!A14</f>
        <v>Сир м'який</v>
      </c>
      <c r="B16" s="379">
        <f>'Виробничий план'!B14</f>
        <v>0.14399999999999999</v>
      </c>
      <c r="C16" s="379">
        <f>'Виробничий план'!C14</f>
        <v>0.18399999999999997</v>
      </c>
      <c r="D16" s="379">
        <f>'Виробничий план'!D14</f>
        <v>0.29743999999999998</v>
      </c>
      <c r="E16" s="379">
        <f>'Виробничий план'!E14</f>
        <v>0.42335999999999996</v>
      </c>
      <c r="F16" s="379">
        <f>'Виробничий план'!F14</f>
        <v>0.60719999999999996</v>
      </c>
      <c r="G16" s="379">
        <f>'Виробничий план'!G14</f>
        <v>0.75263999999999998</v>
      </c>
      <c r="H16" s="379">
        <f>'Виробничий план'!H14</f>
        <v>0.92927999999999999</v>
      </c>
      <c r="I16" s="379">
        <f>'Виробничий план'!I14</f>
        <v>0.93719999999999992</v>
      </c>
      <c r="J16" s="379">
        <f>'Виробничий план'!J14</f>
        <v>0.95256000000000007</v>
      </c>
      <c r="K16" s="379">
        <f>'Виробничий план'!K14</f>
        <v>0.86688000000000009</v>
      </c>
      <c r="L16" s="379">
        <f>'Виробничий план'!L14</f>
        <v>0.72799999999999987</v>
      </c>
      <c r="M16" s="379">
        <f>'Виробничий план'!M14</f>
        <v>0.69120000000000015</v>
      </c>
      <c r="N16" s="380">
        <f t="shared" ref="N16" si="4">SUM(B16:M16)</f>
        <v>7.5137600000000004</v>
      </c>
      <c r="Q16" s="494"/>
      <c r="R16" s="494"/>
      <c r="S16" s="494"/>
      <c r="T16" s="494"/>
      <c r="U16" s="494"/>
    </row>
    <row r="17" spans="1:21" x14ac:dyDescent="0.3">
      <c r="A17" s="150" t="s">
        <v>238</v>
      </c>
      <c r="B17" s="381">
        <f>Довідник!B$86</f>
        <v>160</v>
      </c>
      <c r="C17" s="381">
        <f>Довідник!C$86</f>
        <v>160</v>
      </c>
      <c r="D17" s="381">
        <f>Довідник!D$86</f>
        <v>160</v>
      </c>
      <c r="E17" s="381">
        <f>Довідник!E$86</f>
        <v>160</v>
      </c>
      <c r="F17" s="381">
        <f>Довідник!F$86</f>
        <v>160</v>
      </c>
      <c r="G17" s="381">
        <f>Довідник!G$86</f>
        <v>160</v>
      </c>
      <c r="H17" s="381">
        <f>Довідник!H$86</f>
        <v>160</v>
      </c>
      <c r="I17" s="381">
        <f>Довідник!I$86</f>
        <v>160</v>
      </c>
      <c r="J17" s="381">
        <f>Довідник!J$86</f>
        <v>160</v>
      </c>
      <c r="K17" s="381">
        <f>Довідник!K$86</f>
        <v>160</v>
      </c>
      <c r="L17" s="381">
        <f>Довідник!L$86</f>
        <v>160</v>
      </c>
      <c r="M17" s="381">
        <f>Довідник!M$86</f>
        <v>160</v>
      </c>
      <c r="N17" s="382">
        <f>N18/N16/1000</f>
        <v>159.99999999999997</v>
      </c>
      <c r="Q17" s="494"/>
      <c r="R17" s="494"/>
      <c r="S17" s="494"/>
      <c r="T17" s="494"/>
      <c r="U17" s="494"/>
    </row>
    <row r="18" spans="1:21" ht="15" thickBot="1" x14ac:dyDescent="0.35">
      <c r="A18" s="171" t="s">
        <v>242</v>
      </c>
      <c r="B18" s="383">
        <f>B16*B17*1000</f>
        <v>23040</v>
      </c>
      <c r="C18" s="383">
        <f t="shared" ref="C18:M18" si="5">C16*C17*1000</f>
        <v>29439.999999999993</v>
      </c>
      <c r="D18" s="383">
        <f t="shared" si="5"/>
        <v>47590.399999999994</v>
      </c>
      <c r="E18" s="383">
        <f t="shared" si="5"/>
        <v>67737.599999999991</v>
      </c>
      <c r="F18" s="383">
        <f t="shared" si="5"/>
        <v>97151.999999999985</v>
      </c>
      <c r="G18" s="383">
        <f t="shared" si="5"/>
        <v>120422.39999999999</v>
      </c>
      <c r="H18" s="383">
        <f t="shared" si="5"/>
        <v>148684.79999999999</v>
      </c>
      <c r="I18" s="383">
        <f t="shared" si="5"/>
        <v>149952</v>
      </c>
      <c r="J18" s="383">
        <f t="shared" si="5"/>
        <v>152409.60000000001</v>
      </c>
      <c r="K18" s="383">
        <f t="shared" si="5"/>
        <v>138700.80000000002</v>
      </c>
      <c r="L18" s="383">
        <f t="shared" si="5"/>
        <v>116479.99999999997</v>
      </c>
      <c r="M18" s="383">
        <f t="shared" si="5"/>
        <v>110592.00000000003</v>
      </c>
      <c r="N18" s="384">
        <f>SUM(B18:M18)</f>
        <v>1202201.5999999999</v>
      </c>
      <c r="Q18" s="494"/>
      <c r="R18" s="494"/>
      <c r="S18" s="494"/>
      <c r="T18" s="494"/>
      <c r="U18" s="494"/>
    </row>
    <row r="19" spans="1:21" x14ac:dyDescent="0.3">
      <c r="A19" s="164" t="str">
        <f>'Виробничий план'!A16</f>
        <v>Сир Рікотта</v>
      </c>
      <c r="B19" s="379">
        <f>'Виробничий план'!B16</f>
        <v>4.4160665742024978E-2</v>
      </c>
      <c r="C19" s="379">
        <f>'Виробничий план'!C16</f>
        <v>5.6427517337031899E-2</v>
      </c>
      <c r="D19" s="379">
        <f>'Виробничий план'!D16</f>
        <v>9.1216308460471587E-2</v>
      </c>
      <c r="E19" s="379">
        <f>'Виробничий план'!E16</f>
        <v>0.12983235728155343</v>
      </c>
      <c r="F19" s="379">
        <f>'Виробничий план'!F16</f>
        <v>0.18621080721220529</v>
      </c>
      <c r="G19" s="379">
        <f>'Виробничий план'!G16</f>
        <v>0.23081307961165043</v>
      </c>
      <c r="H19" s="379">
        <f>'Виробничий план'!H16</f>
        <v>0.28498349625520109</v>
      </c>
      <c r="I19" s="379">
        <f>'Виробничий план'!I16</f>
        <v>0.28741233287101237</v>
      </c>
      <c r="J19" s="379">
        <f>'Виробничий план'!J16</f>
        <v>0.29212280388349521</v>
      </c>
      <c r="K19" s="379">
        <f>'Виробничий план'!K16</f>
        <v>0.26584720776699028</v>
      </c>
      <c r="L19" s="379">
        <f>'Виробничий план'!L16</f>
        <v>0.22325669902912618</v>
      </c>
      <c r="M19" s="379">
        <f>'Виробничий план'!M16</f>
        <v>0.21197119556171981</v>
      </c>
      <c r="N19" s="380">
        <f t="shared" ref="N19" si="6">SUM(B19:M19)</f>
        <v>2.3042544710124826</v>
      </c>
      <c r="Q19" s="494"/>
      <c r="R19" s="494"/>
      <c r="S19" s="494"/>
      <c r="T19" s="494"/>
      <c r="U19" s="494"/>
    </row>
    <row r="20" spans="1:21" x14ac:dyDescent="0.3">
      <c r="A20" s="150" t="s">
        <v>238</v>
      </c>
      <c r="B20" s="381">
        <f>Довідник!B$89</f>
        <v>200</v>
      </c>
      <c r="C20" s="381">
        <f>Довідник!C$89</f>
        <v>200</v>
      </c>
      <c r="D20" s="381">
        <f>Довідник!D$89</f>
        <v>200</v>
      </c>
      <c r="E20" s="381">
        <f>Довідник!E$89</f>
        <v>200</v>
      </c>
      <c r="F20" s="381">
        <f>Довідник!F$89</f>
        <v>200</v>
      </c>
      <c r="G20" s="381">
        <f>Довідник!G$89</f>
        <v>200</v>
      </c>
      <c r="H20" s="381">
        <f>Довідник!H$89</f>
        <v>200</v>
      </c>
      <c r="I20" s="381">
        <f>Довідник!I$89</f>
        <v>200</v>
      </c>
      <c r="J20" s="381">
        <f>Довідник!J$89</f>
        <v>200</v>
      </c>
      <c r="K20" s="381">
        <f>Довідник!K$89</f>
        <v>200</v>
      </c>
      <c r="L20" s="381">
        <f>Довідник!L$89</f>
        <v>200</v>
      </c>
      <c r="M20" s="381">
        <f>Довідник!M$89</f>
        <v>200</v>
      </c>
      <c r="N20" s="382">
        <f>N21/N19/1000</f>
        <v>200</v>
      </c>
      <c r="Q20" s="494"/>
      <c r="R20" s="494"/>
      <c r="S20" s="494"/>
      <c r="T20" s="494"/>
      <c r="U20" s="494"/>
    </row>
    <row r="21" spans="1:21" ht="15" thickBot="1" x14ac:dyDescent="0.35">
      <c r="A21" s="171" t="s">
        <v>243</v>
      </c>
      <c r="B21" s="383">
        <f>B19*B20*1000</f>
        <v>8832.1331484049952</v>
      </c>
      <c r="C21" s="383">
        <f t="shared" ref="C21:M21" si="7">C19*C20*1000</f>
        <v>11285.503467406381</v>
      </c>
      <c r="D21" s="383">
        <f t="shared" si="7"/>
        <v>18243.261692094318</v>
      </c>
      <c r="E21" s="383">
        <f t="shared" si="7"/>
        <v>25966.471456310686</v>
      </c>
      <c r="F21" s="383">
        <f t="shared" si="7"/>
        <v>37242.161442441058</v>
      </c>
      <c r="G21" s="383">
        <f t="shared" si="7"/>
        <v>46162.615922330086</v>
      </c>
      <c r="H21" s="383">
        <f t="shared" si="7"/>
        <v>56996.69925104022</v>
      </c>
      <c r="I21" s="383">
        <f t="shared" si="7"/>
        <v>57482.466574202474</v>
      </c>
      <c r="J21" s="383">
        <f t="shared" si="7"/>
        <v>58424.560776699036</v>
      </c>
      <c r="K21" s="383">
        <f t="shared" si="7"/>
        <v>53169.441553398057</v>
      </c>
      <c r="L21" s="383">
        <f t="shared" si="7"/>
        <v>44651.339805825235</v>
      </c>
      <c r="M21" s="383">
        <f t="shared" si="7"/>
        <v>42394.239112343959</v>
      </c>
      <c r="N21" s="384">
        <f>SUM(B21:M21)</f>
        <v>460850.89420249651</v>
      </c>
      <c r="Q21" s="494"/>
      <c r="R21" s="494"/>
      <c r="S21" s="494"/>
      <c r="T21" s="494"/>
      <c r="U21" s="494"/>
    </row>
    <row r="22" spans="1:21" ht="15" thickBot="1" x14ac:dyDescent="0.35">
      <c r="A22" s="273" t="s">
        <v>244</v>
      </c>
      <c r="B22" s="274">
        <f>B6+B9+B12+B15+B18+B21</f>
        <v>80100.083217753127</v>
      </c>
      <c r="C22" s="274">
        <f t="shared" ref="C22:N22" si="8">C6+C9+C12+C15+C18+C21</f>
        <v>102350.10633379564</v>
      </c>
      <c r="D22" s="274">
        <f t="shared" si="8"/>
        <v>165451.17189089226</v>
      </c>
      <c r="E22" s="274">
        <f t="shared" si="8"/>
        <v>235494.24466019418</v>
      </c>
      <c r="F22" s="274">
        <f t="shared" si="8"/>
        <v>337755.35090152564</v>
      </c>
      <c r="G22" s="274">
        <f t="shared" si="8"/>
        <v>418656.43495145626</v>
      </c>
      <c r="H22" s="274">
        <f t="shared" si="8"/>
        <v>516912.5370319002</v>
      </c>
      <c r="I22" s="274">
        <f t="shared" si="8"/>
        <v>521318.04160887655</v>
      </c>
      <c r="J22" s="274">
        <f t="shared" si="8"/>
        <v>529862.05048543692</v>
      </c>
      <c r="K22" s="274">
        <f t="shared" si="8"/>
        <v>482202.50097087387</v>
      </c>
      <c r="L22" s="274">
        <f t="shared" si="8"/>
        <v>404950.42071197403</v>
      </c>
      <c r="M22" s="274">
        <f t="shared" si="8"/>
        <v>384480.39944521501</v>
      </c>
      <c r="N22" s="274">
        <f t="shared" si="8"/>
        <v>4179533.3422098937</v>
      </c>
    </row>
    <row r="25" spans="1:21" ht="15" customHeight="1" thickBot="1" x14ac:dyDescent="0.35">
      <c r="A25" s="486" t="s">
        <v>235</v>
      </c>
      <c r="B25" s="486"/>
      <c r="C25" s="486"/>
      <c r="D25" s="486"/>
      <c r="E25" s="486"/>
      <c r="F25" s="486"/>
      <c r="G25" s="486"/>
      <c r="H25" s="486"/>
      <c r="I25" s="486"/>
      <c r="J25" s="486"/>
      <c r="K25" s="486"/>
      <c r="L25" s="486"/>
      <c r="M25" s="486"/>
      <c r="N25" s="486"/>
    </row>
    <row r="26" spans="1:21" x14ac:dyDescent="0.3">
      <c r="A26" s="487" t="s">
        <v>32</v>
      </c>
      <c r="B26" s="489" t="s">
        <v>33</v>
      </c>
      <c r="C26" s="490"/>
      <c r="D26" s="490"/>
      <c r="E26" s="490"/>
      <c r="F26" s="490"/>
      <c r="G26" s="490"/>
      <c r="H26" s="490"/>
      <c r="I26" s="490"/>
      <c r="J26" s="490"/>
      <c r="K26" s="490"/>
      <c r="L26" s="490"/>
      <c r="M26" s="491"/>
      <c r="N26" s="492" t="s">
        <v>209</v>
      </c>
    </row>
    <row r="27" spans="1:21" ht="15" thickBot="1" x14ac:dyDescent="0.35">
      <c r="A27" s="502"/>
      <c r="B27" s="294" t="s">
        <v>34</v>
      </c>
      <c r="C27" s="295" t="s">
        <v>35</v>
      </c>
      <c r="D27" s="295" t="s">
        <v>36</v>
      </c>
      <c r="E27" s="295" t="s">
        <v>37</v>
      </c>
      <c r="F27" s="295" t="s">
        <v>38</v>
      </c>
      <c r="G27" s="295" t="s">
        <v>39</v>
      </c>
      <c r="H27" s="295" t="s">
        <v>40</v>
      </c>
      <c r="I27" s="295" t="s">
        <v>41</v>
      </c>
      <c r="J27" s="295" t="s">
        <v>42</v>
      </c>
      <c r="K27" s="295" t="s">
        <v>43</v>
      </c>
      <c r="L27" s="295" t="s">
        <v>44</v>
      </c>
      <c r="M27" s="295" t="s">
        <v>45</v>
      </c>
      <c r="N27" s="503"/>
    </row>
    <row r="28" spans="1:21" x14ac:dyDescent="0.3">
      <c r="A28" s="164" t="str">
        <f>A4</f>
        <v>Молоко питне</v>
      </c>
      <c r="B28" s="379">
        <f>'Виробничий план'!B24</f>
        <v>1.536</v>
      </c>
      <c r="C28" s="379">
        <f>'Виробничий план'!C24</f>
        <v>1.8128</v>
      </c>
      <c r="D28" s="379">
        <f>'Виробничий план'!D24</f>
        <v>2.6611200000000004</v>
      </c>
      <c r="E28" s="379">
        <f>'Виробничий план'!E24</f>
        <v>2.8980000000000001</v>
      </c>
      <c r="F28" s="379">
        <f>'Виробничий план'!F24</f>
        <v>3.2384000000000004</v>
      </c>
      <c r="G28" s="379">
        <f>'Виробничий план'!G24</f>
        <v>3.2256</v>
      </c>
      <c r="H28" s="379">
        <f>'Виробничий план'!H24</f>
        <v>3.3792</v>
      </c>
      <c r="I28" s="379">
        <f>'Виробничий план'!I24</f>
        <v>3.5481600000000002</v>
      </c>
      <c r="J28" s="379">
        <f>'Виробничий план'!J24</f>
        <v>3.3012000000000001</v>
      </c>
      <c r="K28" s="379">
        <f>'Виробничий план'!K24</f>
        <v>2.7417599999999998</v>
      </c>
      <c r="L28" s="379">
        <f>'Виробничий план'!L24</f>
        <v>2.7648000000000001</v>
      </c>
      <c r="M28" s="379">
        <f>'Виробничий план'!M24</f>
        <v>2.3359999999999999</v>
      </c>
      <c r="N28" s="380">
        <f>SUM(B28:M28)</f>
        <v>33.443040000000003</v>
      </c>
    </row>
    <row r="29" spans="1:21" x14ac:dyDescent="0.3">
      <c r="A29" s="150" t="s">
        <v>236</v>
      </c>
      <c r="B29" s="381">
        <f>Довідник!B$82</f>
        <v>24</v>
      </c>
      <c r="C29" s="381">
        <f>Довідник!C$82</f>
        <v>24</v>
      </c>
      <c r="D29" s="381">
        <f>Довідник!D$82</f>
        <v>24</v>
      </c>
      <c r="E29" s="381">
        <f>Довідник!E$82</f>
        <v>24</v>
      </c>
      <c r="F29" s="381">
        <f>Довідник!F$82</f>
        <v>24</v>
      </c>
      <c r="G29" s="381">
        <f>Довідник!G$82</f>
        <v>24</v>
      </c>
      <c r="H29" s="381">
        <f>Довідник!H$82</f>
        <v>24</v>
      </c>
      <c r="I29" s="381">
        <f>Довідник!I$82</f>
        <v>24</v>
      </c>
      <c r="J29" s="381">
        <f>Довідник!J$82</f>
        <v>24</v>
      </c>
      <c r="K29" s="381">
        <f>Довідник!K$82</f>
        <v>24</v>
      </c>
      <c r="L29" s="381">
        <f>Довідник!L$82</f>
        <v>24</v>
      </c>
      <c r="M29" s="381">
        <f>Довідник!M$82</f>
        <v>24</v>
      </c>
      <c r="N29" s="382">
        <f>N30/N28/1000</f>
        <v>24</v>
      </c>
    </row>
    <row r="30" spans="1:21" ht="15" thickBot="1" x14ac:dyDescent="0.35">
      <c r="A30" s="171" t="s">
        <v>237</v>
      </c>
      <c r="B30" s="383">
        <f>B28*B29*1000</f>
        <v>36864.000000000007</v>
      </c>
      <c r="C30" s="383">
        <f t="shared" ref="C30:M30" si="9">C28*C29*1000</f>
        <v>43507.199999999997</v>
      </c>
      <c r="D30" s="383">
        <f t="shared" si="9"/>
        <v>63866.880000000012</v>
      </c>
      <c r="E30" s="383">
        <f t="shared" si="9"/>
        <v>69552</v>
      </c>
      <c r="F30" s="383">
        <f t="shared" si="9"/>
        <v>77721.600000000006</v>
      </c>
      <c r="G30" s="383">
        <f t="shared" si="9"/>
        <v>77414.399999999994</v>
      </c>
      <c r="H30" s="383">
        <f t="shared" si="9"/>
        <v>81100.799999999988</v>
      </c>
      <c r="I30" s="383">
        <f t="shared" si="9"/>
        <v>85155.840000000011</v>
      </c>
      <c r="J30" s="383">
        <f t="shared" si="9"/>
        <v>79228.800000000003</v>
      </c>
      <c r="K30" s="383">
        <f t="shared" si="9"/>
        <v>65802.239999999991</v>
      </c>
      <c r="L30" s="383">
        <f t="shared" si="9"/>
        <v>66355.199999999997</v>
      </c>
      <c r="M30" s="383">
        <f t="shared" si="9"/>
        <v>56063.999999999993</v>
      </c>
      <c r="N30" s="384">
        <f>SUM(B30:M30)</f>
        <v>802632.96000000008</v>
      </c>
    </row>
    <row r="31" spans="1:21" x14ac:dyDescent="0.3">
      <c r="A31" s="164" t="str">
        <f>A7</f>
        <v>Сир кисломолочний</v>
      </c>
      <c r="B31" s="379">
        <f>'Виробничий план'!B26</f>
        <v>0.51200000000000001</v>
      </c>
      <c r="C31" s="379">
        <f>'Виробничий план'!C26</f>
        <v>0.60426666666666662</v>
      </c>
      <c r="D31" s="379">
        <f>'Виробничий план'!D26</f>
        <v>0.88704000000000016</v>
      </c>
      <c r="E31" s="379">
        <f>'Виробничий план'!E26</f>
        <v>0.96600000000000008</v>
      </c>
      <c r="F31" s="379">
        <f>'Виробничий план'!F26</f>
        <v>1.0794666666666668</v>
      </c>
      <c r="G31" s="379">
        <f>'Виробничий план'!G26</f>
        <v>1.0751999999999999</v>
      </c>
      <c r="H31" s="379">
        <f>'Виробничий план'!H26</f>
        <v>1.1264000000000001</v>
      </c>
      <c r="I31" s="379">
        <f>'Виробничий план'!I26</f>
        <v>1.18272</v>
      </c>
      <c r="J31" s="379">
        <f>'Виробничий план'!J26</f>
        <v>1.1004</v>
      </c>
      <c r="K31" s="379">
        <f>'Виробничий план'!K26</f>
        <v>0.91391999999999995</v>
      </c>
      <c r="L31" s="379">
        <f>'Виробничий план'!L26</f>
        <v>0.92160000000000009</v>
      </c>
      <c r="M31" s="379">
        <f>'Виробничий план'!M26</f>
        <v>0.77866666666666662</v>
      </c>
      <c r="N31" s="380">
        <f>SUM(B31:M31)</f>
        <v>11.147679999999999</v>
      </c>
    </row>
    <row r="32" spans="1:21" x14ac:dyDescent="0.3">
      <c r="A32" s="150" t="s">
        <v>238</v>
      </c>
      <c r="B32" s="381">
        <f>Довідник!B$83</f>
        <v>145</v>
      </c>
      <c r="C32" s="381">
        <f>Довідник!C$83</f>
        <v>145</v>
      </c>
      <c r="D32" s="381">
        <f>Довідник!D$83</f>
        <v>145</v>
      </c>
      <c r="E32" s="381">
        <f>Довідник!E$83</f>
        <v>145</v>
      </c>
      <c r="F32" s="381">
        <f>Довідник!F$83</f>
        <v>145</v>
      </c>
      <c r="G32" s="381">
        <f>Довідник!G$83</f>
        <v>145</v>
      </c>
      <c r="H32" s="381">
        <f>Довідник!H$83</f>
        <v>145</v>
      </c>
      <c r="I32" s="381">
        <f>Довідник!I$83</f>
        <v>145</v>
      </c>
      <c r="J32" s="381">
        <f>Довідник!J$83</f>
        <v>145</v>
      </c>
      <c r="K32" s="381">
        <f>Довідник!K$83</f>
        <v>145</v>
      </c>
      <c r="L32" s="381">
        <f>Довідник!L$83</f>
        <v>145</v>
      </c>
      <c r="M32" s="381">
        <f>Довідник!M$83</f>
        <v>145</v>
      </c>
      <c r="N32" s="382">
        <f>N33/N31/1000</f>
        <v>145</v>
      </c>
    </row>
    <row r="33" spans="1:14" ht="15" thickBot="1" x14ac:dyDescent="0.35">
      <c r="A33" s="171" t="s">
        <v>239</v>
      </c>
      <c r="B33" s="383">
        <f>B31*B32*1000</f>
        <v>74240</v>
      </c>
      <c r="C33" s="383">
        <f t="shared" ref="C33:M33" si="10">C31*C32*1000</f>
        <v>87618.666666666657</v>
      </c>
      <c r="D33" s="383">
        <f t="shared" si="10"/>
        <v>128620.80000000003</v>
      </c>
      <c r="E33" s="383">
        <f t="shared" si="10"/>
        <v>140070.00000000003</v>
      </c>
      <c r="F33" s="383">
        <f t="shared" si="10"/>
        <v>156522.66666666669</v>
      </c>
      <c r="G33" s="383">
        <f t="shared" si="10"/>
        <v>155904</v>
      </c>
      <c r="H33" s="383">
        <f t="shared" si="10"/>
        <v>163328</v>
      </c>
      <c r="I33" s="383">
        <f t="shared" si="10"/>
        <v>171494.40000000002</v>
      </c>
      <c r="J33" s="383">
        <f t="shared" si="10"/>
        <v>159558</v>
      </c>
      <c r="K33" s="383">
        <f t="shared" si="10"/>
        <v>132518.39999999999</v>
      </c>
      <c r="L33" s="383">
        <f t="shared" si="10"/>
        <v>133632</v>
      </c>
      <c r="M33" s="383">
        <f t="shared" si="10"/>
        <v>112906.66666666667</v>
      </c>
      <c r="N33" s="384">
        <f>SUM(B33:M33)</f>
        <v>1616413.5999999999</v>
      </c>
    </row>
    <row r="34" spans="1:14" x14ac:dyDescent="0.3">
      <c r="A34" s="164" t="str">
        <f>A10</f>
        <v>Кефір</v>
      </c>
      <c r="B34" s="379">
        <f>'Виробничий план'!B28</f>
        <v>4.4737864077669895</v>
      </c>
      <c r="C34" s="379">
        <f>'Виробничий план'!C28</f>
        <v>5.28</v>
      </c>
      <c r="D34" s="379">
        <f>'Виробничий план'!D28</f>
        <v>7.7508349514563113</v>
      </c>
      <c r="E34" s="379">
        <f>'Виробничий план'!E28</f>
        <v>8.4407766990291258</v>
      </c>
      <c r="F34" s="379">
        <f>'Виробничий план'!F28</f>
        <v>9.432233009708737</v>
      </c>
      <c r="G34" s="379">
        <f>'Виробничий план'!G28</f>
        <v>9.3949514563106789</v>
      </c>
      <c r="H34" s="379">
        <f>'Виробничий план'!H28</f>
        <v>9.8423300970873768</v>
      </c>
      <c r="I34" s="379">
        <f>'Виробничий план'!I28</f>
        <v>10.33444660194175</v>
      </c>
      <c r="J34" s="379">
        <f>'Виробничий план'!J28</f>
        <v>9.6151456310679624</v>
      </c>
      <c r="K34" s="379">
        <f>'Виробничий план'!K28</f>
        <v>7.9857087378640772</v>
      </c>
      <c r="L34" s="379">
        <f>'Виробничий план'!L28</f>
        <v>8.0528155339805831</v>
      </c>
      <c r="M34" s="379">
        <f>'Виробничий план'!M28</f>
        <v>6.8038834951456302</v>
      </c>
      <c r="N34" s="380">
        <f>SUM(B34:M34)</f>
        <v>97.406912621359211</v>
      </c>
    </row>
    <row r="35" spans="1:14" x14ac:dyDescent="0.3">
      <c r="A35" s="150" t="s">
        <v>238</v>
      </c>
      <c r="B35" s="381">
        <f>Довідник!B$84</f>
        <v>28</v>
      </c>
      <c r="C35" s="381">
        <f>Довідник!C$84</f>
        <v>28</v>
      </c>
      <c r="D35" s="381">
        <f>Довідник!D$84</f>
        <v>28</v>
      </c>
      <c r="E35" s="381">
        <f>Довідник!E$84</f>
        <v>28</v>
      </c>
      <c r="F35" s="381">
        <f>Довідник!F$84</f>
        <v>28</v>
      </c>
      <c r="G35" s="381">
        <f>Довідник!G$84</f>
        <v>28</v>
      </c>
      <c r="H35" s="381">
        <f>Довідник!H$84</f>
        <v>28</v>
      </c>
      <c r="I35" s="381">
        <f>Довідник!I$84</f>
        <v>28</v>
      </c>
      <c r="J35" s="381">
        <f>Довідник!J$84</f>
        <v>28</v>
      </c>
      <c r="K35" s="381">
        <f>Довідник!K$84</f>
        <v>28</v>
      </c>
      <c r="L35" s="381">
        <f>Довідник!L$84</f>
        <v>28</v>
      </c>
      <c r="M35" s="381">
        <f>Довідник!M$84</f>
        <v>28</v>
      </c>
      <c r="N35" s="382">
        <f>N36/N34/1000</f>
        <v>28</v>
      </c>
    </row>
    <row r="36" spans="1:14" ht="15" thickBot="1" x14ac:dyDescent="0.35">
      <c r="A36" s="171" t="s">
        <v>240</v>
      </c>
      <c r="B36" s="383">
        <f>B34*B35*1000</f>
        <v>125266.01941747571</v>
      </c>
      <c r="C36" s="383">
        <f t="shared" ref="C36:M36" si="11">C34*C35*1000</f>
        <v>147840</v>
      </c>
      <c r="D36" s="383">
        <f t="shared" si="11"/>
        <v>217023.3786407767</v>
      </c>
      <c r="E36" s="383">
        <f t="shared" si="11"/>
        <v>236341.74757281551</v>
      </c>
      <c r="F36" s="383">
        <f t="shared" si="11"/>
        <v>264102.52427184465</v>
      </c>
      <c r="G36" s="383">
        <f t="shared" si="11"/>
        <v>263058.640776699</v>
      </c>
      <c r="H36" s="383">
        <f t="shared" si="11"/>
        <v>275585.24271844659</v>
      </c>
      <c r="I36" s="383">
        <f t="shared" si="11"/>
        <v>289364.50485436898</v>
      </c>
      <c r="J36" s="383">
        <f t="shared" si="11"/>
        <v>269224.07766990294</v>
      </c>
      <c r="K36" s="383">
        <f t="shared" si="11"/>
        <v>223599.84466019415</v>
      </c>
      <c r="L36" s="383">
        <f t="shared" si="11"/>
        <v>225478.83495145632</v>
      </c>
      <c r="M36" s="383">
        <f t="shared" si="11"/>
        <v>190508.73786407767</v>
      </c>
      <c r="N36" s="384">
        <f>SUM(B36:M36)</f>
        <v>2727393.5533980578</v>
      </c>
    </row>
    <row r="37" spans="1:14" x14ac:dyDescent="0.3">
      <c r="A37" s="164" t="str">
        <f>A13</f>
        <v>Сметана</v>
      </c>
      <c r="B37" s="379">
        <f>'Виробничий план'!B30</f>
        <v>0.21942857142857145</v>
      </c>
      <c r="C37" s="379">
        <f>'Виробничий план'!C30</f>
        <v>0.25897142857142857</v>
      </c>
      <c r="D37" s="379">
        <f>'Виробничий план'!D30</f>
        <v>0.38016000000000005</v>
      </c>
      <c r="E37" s="379">
        <f>'Виробничий план'!E30</f>
        <v>0.41400000000000003</v>
      </c>
      <c r="F37" s="379">
        <f>'Виробничий план'!F30</f>
        <v>0.4626285714285715</v>
      </c>
      <c r="G37" s="379">
        <f>'Виробничий план'!G30</f>
        <v>0.46079999999999999</v>
      </c>
      <c r="H37" s="379">
        <f>'Виробничий план'!H30</f>
        <v>0.48274285714285714</v>
      </c>
      <c r="I37" s="379">
        <f>'Виробничий план'!I30</f>
        <v>0.50688</v>
      </c>
      <c r="J37" s="379">
        <f>'Виробничий план'!J30</f>
        <v>0.47160000000000002</v>
      </c>
      <c r="K37" s="379">
        <f>'Виробничий план'!K30</f>
        <v>0.39167999999999997</v>
      </c>
      <c r="L37" s="379">
        <f>'Виробничий план'!L30</f>
        <v>0.39497142857142858</v>
      </c>
      <c r="M37" s="379">
        <f>'Виробничий план'!M30</f>
        <v>0.33371428571428569</v>
      </c>
      <c r="N37" s="380">
        <f>SUM(B37:M37)</f>
        <v>4.777577142857143</v>
      </c>
    </row>
    <row r="38" spans="1:14" x14ac:dyDescent="0.3">
      <c r="A38" s="150" t="s">
        <v>238</v>
      </c>
      <c r="B38" s="381">
        <f>Довідник!B$85</f>
        <v>95</v>
      </c>
      <c r="C38" s="381">
        <f>Довідник!C$85</f>
        <v>95</v>
      </c>
      <c r="D38" s="381">
        <f>Довідник!D$85</f>
        <v>95</v>
      </c>
      <c r="E38" s="381">
        <f>Довідник!E$85</f>
        <v>95</v>
      </c>
      <c r="F38" s="381">
        <f>Довідник!F$85</f>
        <v>95</v>
      </c>
      <c r="G38" s="381">
        <f>Довідник!G$85</f>
        <v>95</v>
      </c>
      <c r="H38" s="381">
        <f>Довідник!H$85</f>
        <v>95</v>
      </c>
      <c r="I38" s="381">
        <f>Довідник!I$85</f>
        <v>95</v>
      </c>
      <c r="J38" s="381">
        <f>Довідник!J$85</f>
        <v>95</v>
      </c>
      <c r="K38" s="381">
        <f>Довідник!K$85</f>
        <v>95</v>
      </c>
      <c r="L38" s="381">
        <f>Довідник!L$85</f>
        <v>95</v>
      </c>
      <c r="M38" s="381">
        <f>Довідник!M$85</f>
        <v>95</v>
      </c>
      <c r="N38" s="382">
        <f>N39/N37/1000</f>
        <v>95</v>
      </c>
    </row>
    <row r="39" spans="1:14" ht="15" thickBot="1" x14ac:dyDescent="0.35">
      <c r="A39" s="171" t="s">
        <v>241</v>
      </c>
      <c r="B39" s="383">
        <f>B37*B38*1000</f>
        <v>20845.714285714286</v>
      </c>
      <c r="C39" s="383">
        <f t="shared" ref="C39" si="12">C37*C38*1000</f>
        <v>24602.285714285714</v>
      </c>
      <c r="D39" s="383">
        <f t="shared" ref="D39" si="13">D37*D38*1000</f>
        <v>36115.200000000004</v>
      </c>
      <c r="E39" s="383">
        <f t="shared" ref="E39" si="14">E37*E38*1000</f>
        <v>39330.000000000007</v>
      </c>
      <c r="F39" s="383">
        <f t="shared" ref="F39" si="15">F37*F38*1000</f>
        <v>43949.71428571429</v>
      </c>
      <c r="G39" s="383">
        <f t="shared" ref="G39" si="16">G37*G38*1000</f>
        <v>43775.999999999993</v>
      </c>
      <c r="H39" s="383">
        <f t="shared" ref="H39" si="17">H37*H38*1000</f>
        <v>45860.571428571428</v>
      </c>
      <c r="I39" s="383">
        <f t="shared" ref="I39" si="18">I37*I38*1000</f>
        <v>48153.599999999999</v>
      </c>
      <c r="J39" s="383">
        <f t="shared" ref="J39" si="19">J37*J38*1000</f>
        <v>44802</v>
      </c>
      <c r="K39" s="383">
        <f t="shared" ref="K39" si="20">K37*K38*1000</f>
        <v>37209.599999999991</v>
      </c>
      <c r="L39" s="383">
        <f t="shared" ref="L39" si="21">L37*L38*1000</f>
        <v>37522.285714285717</v>
      </c>
      <c r="M39" s="383">
        <f t="shared" ref="M39" si="22">M37*M38*1000</f>
        <v>31702.857142857141</v>
      </c>
      <c r="N39" s="384">
        <f>SUM(B39:M39)</f>
        <v>453869.8285714286</v>
      </c>
    </row>
    <row r="40" spans="1:14" x14ac:dyDescent="0.3">
      <c r="A40" s="164" t="str">
        <f>A16</f>
        <v>Сир м'який</v>
      </c>
      <c r="B40" s="379">
        <f>'Виробничий план'!B32</f>
        <v>0.7679999999999999</v>
      </c>
      <c r="C40" s="379">
        <f>'Виробничий план'!C32</f>
        <v>0.90640000000000009</v>
      </c>
      <c r="D40" s="379">
        <f>'Виробничий план'!D32</f>
        <v>1.3305600000000002</v>
      </c>
      <c r="E40" s="379">
        <f>'Виробничий план'!E32</f>
        <v>1.4489999999999998</v>
      </c>
      <c r="F40" s="379">
        <f>'Виробничий план'!F32</f>
        <v>1.6192</v>
      </c>
      <c r="G40" s="379">
        <f>'Виробничий план'!G32</f>
        <v>1.6128</v>
      </c>
      <c r="H40" s="379">
        <f>'Виробничий план'!H32</f>
        <v>1.6895999999999998</v>
      </c>
      <c r="I40" s="379">
        <f>'Виробничий план'!I32</f>
        <v>1.7740800000000003</v>
      </c>
      <c r="J40" s="379">
        <f>'Виробничий план'!J32</f>
        <v>1.6506000000000001</v>
      </c>
      <c r="K40" s="379">
        <f>'Виробничий план'!K32</f>
        <v>1.3708799999999999</v>
      </c>
      <c r="L40" s="379">
        <f>'Виробничий план'!L32</f>
        <v>1.3824000000000003</v>
      </c>
      <c r="M40" s="379">
        <f>'Виробничий план'!M32</f>
        <v>1.1679999999999999</v>
      </c>
      <c r="N40" s="380">
        <f t="shared" ref="N40" si="23">SUM(B40:M40)</f>
        <v>16.721520000000002</v>
      </c>
    </row>
    <row r="41" spans="1:14" x14ac:dyDescent="0.3">
      <c r="A41" s="150" t="s">
        <v>238</v>
      </c>
      <c r="B41" s="381">
        <f>Довідник!B$86</f>
        <v>160</v>
      </c>
      <c r="C41" s="381">
        <f>Довідник!C$86</f>
        <v>160</v>
      </c>
      <c r="D41" s="381">
        <f>Довідник!D$86</f>
        <v>160</v>
      </c>
      <c r="E41" s="381">
        <f>Довідник!E$86</f>
        <v>160</v>
      </c>
      <c r="F41" s="381">
        <f>Довідник!F$86</f>
        <v>160</v>
      </c>
      <c r="G41" s="381">
        <f>Довідник!G$86</f>
        <v>160</v>
      </c>
      <c r="H41" s="381">
        <f>Довідник!H$86</f>
        <v>160</v>
      </c>
      <c r="I41" s="381">
        <f>Довідник!I$86</f>
        <v>160</v>
      </c>
      <c r="J41" s="381">
        <f>Довідник!J$86</f>
        <v>160</v>
      </c>
      <c r="K41" s="381">
        <f>Довідник!K$86</f>
        <v>160</v>
      </c>
      <c r="L41" s="381">
        <f>Довідник!L$86</f>
        <v>160</v>
      </c>
      <c r="M41" s="381">
        <f>Довідник!M$86</f>
        <v>160</v>
      </c>
      <c r="N41" s="382">
        <f>N42/N40/1000</f>
        <v>160</v>
      </c>
    </row>
    <row r="42" spans="1:14" ht="15" thickBot="1" x14ac:dyDescent="0.35">
      <c r="A42" s="171" t="s">
        <v>242</v>
      </c>
      <c r="B42" s="383">
        <f>B40*B41*1000</f>
        <v>122879.99999999999</v>
      </c>
      <c r="C42" s="383">
        <f t="shared" ref="C42" si="24">C40*C41*1000</f>
        <v>145024</v>
      </c>
      <c r="D42" s="383">
        <f t="shared" ref="D42" si="25">D40*D41*1000</f>
        <v>212889.60000000003</v>
      </c>
      <c r="E42" s="383">
        <f t="shared" ref="E42" si="26">E40*E41*1000</f>
        <v>231839.99999999997</v>
      </c>
      <c r="F42" s="383">
        <f t="shared" ref="F42" si="27">F40*F41*1000</f>
        <v>259072</v>
      </c>
      <c r="G42" s="383">
        <f t="shared" ref="G42" si="28">G40*G41*1000</f>
        <v>258048</v>
      </c>
      <c r="H42" s="383">
        <f t="shared" ref="H42" si="29">H40*H41*1000</f>
        <v>270335.99999999994</v>
      </c>
      <c r="I42" s="383">
        <f t="shared" ref="I42" si="30">I40*I41*1000</f>
        <v>283852.80000000005</v>
      </c>
      <c r="J42" s="383">
        <f t="shared" ref="J42" si="31">J40*J41*1000</f>
        <v>264096</v>
      </c>
      <c r="K42" s="383">
        <f t="shared" ref="K42" si="32">K40*K41*1000</f>
        <v>219340.79999999996</v>
      </c>
      <c r="L42" s="383">
        <f t="shared" ref="L42" si="33">L40*L41*1000</f>
        <v>221184.00000000006</v>
      </c>
      <c r="M42" s="383">
        <f t="shared" ref="M42" si="34">M40*M41*1000</f>
        <v>186880</v>
      </c>
      <c r="N42" s="384">
        <f>SUM(B42:M42)</f>
        <v>2675443.2000000002</v>
      </c>
    </row>
    <row r="43" spans="1:14" x14ac:dyDescent="0.3">
      <c r="A43" s="164" t="str">
        <f>A19</f>
        <v>Сир Рікотта</v>
      </c>
      <c r="B43" s="379">
        <f>'Виробничий план'!B34</f>
        <v>0.23552355062413322</v>
      </c>
      <c r="C43" s="379">
        <f>'Виробничий план'!C34</f>
        <v>0.27796685714285724</v>
      </c>
      <c r="D43" s="379">
        <f>'Виробничий план'!D34</f>
        <v>0.4080445514563108</v>
      </c>
      <c r="E43" s="379">
        <f>'Виробничий план'!E34</f>
        <v>0.44436669902912618</v>
      </c>
      <c r="F43" s="379">
        <f>'Виробничий план'!F34</f>
        <v>0.49656215256588071</v>
      </c>
      <c r="G43" s="379">
        <f>'Виробничий план'!G34</f>
        <v>0.4945994563106797</v>
      </c>
      <c r="H43" s="379">
        <f>'Виробничий план'!H34</f>
        <v>0.51815181137309307</v>
      </c>
      <c r="I43" s="379">
        <f>'Виробничий план'!I34</f>
        <v>0.54405940194174762</v>
      </c>
      <c r="J43" s="379">
        <f>'Виробничий план'!J34</f>
        <v>0.50619163106796117</v>
      </c>
      <c r="K43" s="379">
        <f>'Виробничий план'!K34</f>
        <v>0.42040953786407775</v>
      </c>
      <c r="L43" s="379">
        <f>'Виробничий план'!L34</f>
        <v>0.42394239112343962</v>
      </c>
      <c r="M43" s="379">
        <f>'Виробничий план'!M34</f>
        <v>0.35819206657420261</v>
      </c>
      <c r="N43" s="380">
        <f t="shared" ref="N43" si="35">SUM(B43:M43)</f>
        <v>5.1280101070735098</v>
      </c>
    </row>
    <row r="44" spans="1:14" x14ac:dyDescent="0.3">
      <c r="A44" s="150" t="s">
        <v>238</v>
      </c>
      <c r="B44" s="381">
        <f>Довідник!B$89</f>
        <v>200</v>
      </c>
      <c r="C44" s="381">
        <f>Довідник!C$89</f>
        <v>200</v>
      </c>
      <c r="D44" s="381">
        <f>Довідник!D$89</f>
        <v>200</v>
      </c>
      <c r="E44" s="381">
        <f>Довідник!E$89</f>
        <v>200</v>
      </c>
      <c r="F44" s="381">
        <f>Довідник!F$89</f>
        <v>200</v>
      </c>
      <c r="G44" s="381">
        <f>Довідник!G$89</f>
        <v>200</v>
      </c>
      <c r="H44" s="381">
        <f>Довідник!H$89</f>
        <v>200</v>
      </c>
      <c r="I44" s="381">
        <f>Довідник!I$89</f>
        <v>200</v>
      </c>
      <c r="J44" s="381">
        <f>Довідник!J$89</f>
        <v>200</v>
      </c>
      <c r="K44" s="381">
        <f>Довідник!K$89</f>
        <v>200</v>
      </c>
      <c r="L44" s="381">
        <f>Довідник!L$89</f>
        <v>200</v>
      </c>
      <c r="M44" s="381">
        <f>Довідник!M$89</f>
        <v>200</v>
      </c>
      <c r="N44" s="382">
        <f>N45/N43/1000</f>
        <v>199.99999999999997</v>
      </c>
    </row>
    <row r="45" spans="1:14" ht="15" thickBot="1" x14ac:dyDescent="0.35">
      <c r="A45" s="171" t="s">
        <v>243</v>
      </c>
      <c r="B45" s="383">
        <f>B43*B44*1000</f>
        <v>47104.710124826648</v>
      </c>
      <c r="C45" s="383">
        <f t="shared" ref="C45" si="36">C43*C44*1000</f>
        <v>55593.371428571445</v>
      </c>
      <c r="D45" s="383">
        <f t="shared" ref="D45" si="37">D43*D44*1000</f>
        <v>81608.91029126216</v>
      </c>
      <c r="E45" s="383">
        <f t="shared" ref="E45" si="38">E43*E44*1000</f>
        <v>88873.339805825235</v>
      </c>
      <c r="F45" s="383">
        <f t="shared" ref="F45" si="39">F43*F44*1000</f>
        <v>99312.430513176136</v>
      </c>
      <c r="G45" s="383">
        <f t="shared" ref="G45" si="40">G43*G44*1000</f>
        <v>98919.891262135934</v>
      </c>
      <c r="H45" s="383">
        <f t="shared" ref="H45" si="41">H43*H44*1000</f>
        <v>103630.36227461862</v>
      </c>
      <c r="I45" s="383">
        <f t="shared" ref="I45" si="42">I43*I44*1000</f>
        <v>108811.88038834953</v>
      </c>
      <c r="J45" s="383">
        <f t="shared" ref="J45" si="43">J43*J44*1000</f>
        <v>101238.32621359223</v>
      </c>
      <c r="K45" s="383">
        <f t="shared" ref="K45" si="44">K43*K44*1000</f>
        <v>84081.907572815559</v>
      </c>
      <c r="L45" s="383">
        <f t="shared" ref="L45" si="45">L43*L44*1000</f>
        <v>84788.478224687919</v>
      </c>
      <c r="M45" s="383">
        <f t="shared" ref="M45" si="46">M43*M44*1000</f>
        <v>71638.413314840524</v>
      </c>
      <c r="N45" s="384">
        <f>SUM(B45:M45)</f>
        <v>1025602.0214147018</v>
      </c>
    </row>
    <row r="46" spans="1:14" ht="15" thickBot="1" x14ac:dyDescent="0.35">
      <c r="A46" s="273" t="s">
        <v>244</v>
      </c>
      <c r="B46" s="274">
        <f>B30+B33+B36+B39+B42+B45</f>
        <v>427200.44382801664</v>
      </c>
      <c r="C46" s="274">
        <f t="shared" ref="C46" si="47">C30+C33+C36+C39+C42+C45</f>
        <v>504185.52380952385</v>
      </c>
      <c r="D46" s="274">
        <f t="shared" ref="D46" si="48">D30+D33+D36+D39+D42+D45</f>
        <v>740124.76893203903</v>
      </c>
      <c r="E46" s="274">
        <f t="shared" ref="E46" si="49">E30+E33+E36+E39+E42+E45</f>
        <v>806007.08737864078</v>
      </c>
      <c r="F46" s="274">
        <f t="shared" ref="F46" si="50">F30+F33+F36+F39+F42+F45</f>
        <v>900680.93573740183</v>
      </c>
      <c r="G46" s="274">
        <f t="shared" ref="G46" si="51">G30+G33+G36+G39+G42+G45</f>
        <v>897120.9320388349</v>
      </c>
      <c r="H46" s="274">
        <f t="shared" ref="H46" si="52">H30+H33+H36+H39+H42+H45</f>
        <v>939840.97642163653</v>
      </c>
      <c r="I46" s="274">
        <f t="shared" ref="I46" si="53">I30+I33+I36+I39+I42+I45</f>
        <v>986833.02524271852</v>
      </c>
      <c r="J46" s="274">
        <f t="shared" ref="J46" si="54">J30+J33+J36+J39+J42+J45</f>
        <v>918147.20388349518</v>
      </c>
      <c r="K46" s="274">
        <f t="shared" ref="K46" si="55">K30+K33+K36+K39+K42+K45</f>
        <v>762552.79223300959</v>
      </c>
      <c r="L46" s="274">
        <f t="shared" ref="L46" si="56">L30+L33+L36+L39+L42+L45</f>
        <v>768960.79889043001</v>
      </c>
      <c r="M46" s="274">
        <f t="shared" ref="M46" si="57">M30+M33+M36+M39+M42+M45</f>
        <v>649700.67498844198</v>
      </c>
      <c r="N46" s="275">
        <f>SUM(B46:M46)</f>
        <v>9301355.163384188</v>
      </c>
    </row>
    <row r="49" spans="1:14" ht="15" customHeight="1" thickBot="1" x14ac:dyDescent="0.35">
      <c r="A49" s="486" t="s">
        <v>235</v>
      </c>
      <c r="B49" s="486"/>
      <c r="C49" s="486"/>
      <c r="D49" s="486"/>
      <c r="E49" s="486"/>
      <c r="F49" s="486"/>
      <c r="G49" s="486"/>
      <c r="H49" s="486"/>
      <c r="I49" s="486"/>
      <c r="J49" s="486"/>
      <c r="K49" s="486"/>
      <c r="L49" s="486"/>
      <c r="M49" s="486"/>
      <c r="N49" s="486"/>
    </row>
    <row r="50" spans="1:14" ht="14.4" customHeight="1" x14ac:dyDescent="0.3">
      <c r="A50" s="487" t="s">
        <v>32</v>
      </c>
      <c r="B50" s="489" t="s">
        <v>33</v>
      </c>
      <c r="C50" s="490"/>
      <c r="D50" s="490"/>
      <c r="E50" s="490"/>
      <c r="F50" s="490"/>
      <c r="G50" s="490"/>
      <c r="H50" s="490"/>
      <c r="I50" s="490"/>
      <c r="J50" s="490"/>
      <c r="K50" s="490"/>
      <c r="L50" s="490"/>
      <c r="M50" s="491"/>
      <c r="N50" s="492" t="s">
        <v>209</v>
      </c>
    </row>
    <row r="51" spans="1:14" ht="15" thickBot="1" x14ac:dyDescent="0.35">
      <c r="A51" s="502"/>
      <c r="B51" s="294" t="s">
        <v>34</v>
      </c>
      <c r="C51" s="295" t="s">
        <v>35</v>
      </c>
      <c r="D51" s="295" t="s">
        <v>36</v>
      </c>
      <c r="E51" s="295" t="s">
        <v>37</v>
      </c>
      <c r="F51" s="295" t="s">
        <v>38</v>
      </c>
      <c r="G51" s="295" t="s">
        <v>39</v>
      </c>
      <c r="H51" s="295" t="s">
        <v>40</v>
      </c>
      <c r="I51" s="295" t="s">
        <v>41</v>
      </c>
      <c r="J51" s="295" t="s">
        <v>42</v>
      </c>
      <c r="K51" s="295" t="s">
        <v>43</v>
      </c>
      <c r="L51" s="295" t="s">
        <v>44</v>
      </c>
      <c r="M51" s="295" t="s">
        <v>45</v>
      </c>
      <c r="N51" s="503"/>
    </row>
    <row r="52" spans="1:14" x14ac:dyDescent="0.3">
      <c r="A52" s="164" t="str">
        <f>A4</f>
        <v>Молоко питне</v>
      </c>
      <c r="B52" s="379">
        <f>'Виробничий план'!B42</f>
        <v>2.3359999999999999</v>
      </c>
      <c r="C52" s="379">
        <f>'Виробничий план'!C42</f>
        <v>2.8992</v>
      </c>
      <c r="D52" s="379">
        <f>'Виробничий план'!D42</f>
        <v>3.8684799999999999</v>
      </c>
      <c r="E52" s="379">
        <f>'Виробничий план'!E42</f>
        <v>4.0571999999999999</v>
      </c>
      <c r="F52" s="379">
        <f>'Виробничий план'!F42</f>
        <v>4.6745600000000005</v>
      </c>
      <c r="G52" s="379">
        <f>'Виробничий план'!G42</f>
        <v>4.7409600000000003</v>
      </c>
      <c r="H52" s="379">
        <f>'Виробничий план'!H42</f>
        <v>4.9966400000000002</v>
      </c>
      <c r="I52" s="379">
        <f>'Виробничий план'!I42</f>
        <v>4.9966400000000002</v>
      </c>
      <c r="J52" s="379">
        <f>'Виробничий план'!J42</f>
        <v>4.6502400000000002</v>
      </c>
      <c r="K52" s="379">
        <f>'Виробничий план'!K42</f>
        <v>4.4855999999999998</v>
      </c>
      <c r="L52" s="379">
        <f>'Виробничий план'!L42</f>
        <v>3.4560000000000004</v>
      </c>
      <c r="M52" s="379">
        <f>'Виробничий план'!M42</f>
        <v>2.9119999999999999</v>
      </c>
      <c r="N52" s="380">
        <f>SUM(B52:M52)</f>
        <v>48.073520000000002</v>
      </c>
    </row>
    <row r="53" spans="1:14" x14ac:dyDescent="0.3">
      <c r="A53" s="150" t="s">
        <v>236</v>
      </c>
      <c r="B53" s="381">
        <f>Довідник!B$82</f>
        <v>24</v>
      </c>
      <c r="C53" s="381">
        <f>Довідник!C$82</f>
        <v>24</v>
      </c>
      <c r="D53" s="381">
        <f>Довідник!D$82</f>
        <v>24</v>
      </c>
      <c r="E53" s="381">
        <f>Довідник!E$82</f>
        <v>24</v>
      </c>
      <c r="F53" s="381">
        <f>Довідник!F$82</f>
        <v>24</v>
      </c>
      <c r="G53" s="381">
        <f>Довідник!G$82</f>
        <v>24</v>
      </c>
      <c r="H53" s="381">
        <f>Довідник!H$82</f>
        <v>24</v>
      </c>
      <c r="I53" s="381">
        <f>Довідник!I$82</f>
        <v>24</v>
      </c>
      <c r="J53" s="381">
        <f>Довідник!J$82</f>
        <v>24</v>
      </c>
      <c r="K53" s="381">
        <f>Довідник!K$82</f>
        <v>24</v>
      </c>
      <c r="L53" s="381">
        <f>Довідник!L$82</f>
        <v>24</v>
      </c>
      <c r="M53" s="381">
        <f>Довідник!M$82</f>
        <v>24</v>
      </c>
      <c r="N53" s="382">
        <f>N54/N52/1000</f>
        <v>24</v>
      </c>
    </row>
    <row r="54" spans="1:14" ht="15" thickBot="1" x14ac:dyDescent="0.35">
      <c r="A54" s="171" t="s">
        <v>237</v>
      </c>
      <c r="B54" s="383">
        <f>B52*B53*1000</f>
        <v>56063.999999999993</v>
      </c>
      <c r="C54" s="383">
        <f t="shared" ref="C54:M54" si="58">C52*C53*1000</f>
        <v>69580.800000000003</v>
      </c>
      <c r="D54" s="383">
        <f t="shared" si="58"/>
        <v>92843.520000000004</v>
      </c>
      <c r="E54" s="383">
        <f t="shared" si="58"/>
        <v>97372.800000000003</v>
      </c>
      <c r="F54" s="383">
        <f t="shared" si="58"/>
        <v>112189.44000000002</v>
      </c>
      <c r="G54" s="383">
        <f t="shared" si="58"/>
        <v>113783.03999999999</v>
      </c>
      <c r="H54" s="383">
        <f t="shared" si="58"/>
        <v>119919.36000000002</v>
      </c>
      <c r="I54" s="383">
        <f t="shared" si="58"/>
        <v>119919.36000000002</v>
      </c>
      <c r="J54" s="383">
        <f t="shared" si="58"/>
        <v>111605.76000000001</v>
      </c>
      <c r="K54" s="383">
        <f t="shared" si="58"/>
        <v>107654.39999999999</v>
      </c>
      <c r="L54" s="383">
        <f t="shared" si="58"/>
        <v>82944.000000000015</v>
      </c>
      <c r="M54" s="383">
        <f t="shared" si="58"/>
        <v>69888</v>
      </c>
      <c r="N54" s="384">
        <f>SUM(B54:M54)</f>
        <v>1153764.48</v>
      </c>
    </row>
    <row r="55" spans="1:14" x14ac:dyDescent="0.3">
      <c r="A55" s="164" t="str">
        <f>A7</f>
        <v>Сир кисломолочний</v>
      </c>
      <c r="B55" s="379">
        <f>'Виробничий план'!B44</f>
        <v>0.77866666666666662</v>
      </c>
      <c r="C55" s="379">
        <f>'Виробничий план'!C44</f>
        <v>0.96640000000000004</v>
      </c>
      <c r="D55" s="379">
        <f>'Виробничий план'!D44</f>
        <v>1.2894933333333334</v>
      </c>
      <c r="E55" s="379">
        <f>'Виробничий план'!E44</f>
        <v>1.3524</v>
      </c>
      <c r="F55" s="379">
        <f>'Виробничий план'!F44</f>
        <v>1.5581866666666668</v>
      </c>
      <c r="G55" s="379">
        <f>'Виробничий план'!G44</f>
        <v>1.5803200000000002</v>
      </c>
      <c r="H55" s="379">
        <f>'Виробничий план'!H44</f>
        <v>1.6655466666666667</v>
      </c>
      <c r="I55" s="379">
        <f>'Виробничий план'!I44</f>
        <v>1.6655466666666667</v>
      </c>
      <c r="J55" s="379">
        <f>'Виробничий план'!J44</f>
        <v>1.5500800000000001</v>
      </c>
      <c r="K55" s="379">
        <f>'Виробничий план'!K44</f>
        <v>1.4951999999999999</v>
      </c>
      <c r="L55" s="379">
        <f>'Виробничий план'!L44</f>
        <v>1.1520000000000001</v>
      </c>
      <c r="M55" s="379">
        <f>'Виробничий план'!M44</f>
        <v>0.97066666666666668</v>
      </c>
      <c r="N55" s="380">
        <f>SUM(B55:M55)</f>
        <v>16.024506666666667</v>
      </c>
    </row>
    <row r="56" spans="1:14" x14ac:dyDescent="0.3">
      <c r="A56" s="150" t="s">
        <v>238</v>
      </c>
      <c r="B56" s="381">
        <f>Довідник!B$83</f>
        <v>145</v>
      </c>
      <c r="C56" s="381">
        <f>Довідник!C$83</f>
        <v>145</v>
      </c>
      <c r="D56" s="381">
        <f>Довідник!D$83</f>
        <v>145</v>
      </c>
      <c r="E56" s="381">
        <f>Довідник!E$83</f>
        <v>145</v>
      </c>
      <c r="F56" s="381">
        <f>Довідник!F$83</f>
        <v>145</v>
      </c>
      <c r="G56" s="381">
        <f>Довідник!G$83</f>
        <v>145</v>
      </c>
      <c r="H56" s="381">
        <f>Довідник!H$83</f>
        <v>145</v>
      </c>
      <c r="I56" s="381">
        <f>Довідник!I$83</f>
        <v>145</v>
      </c>
      <c r="J56" s="381">
        <f>Довідник!J$83</f>
        <v>145</v>
      </c>
      <c r="K56" s="381">
        <f>Довідник!K$83</f>
        <v>145</v>
      </c>
      <c r="L56" s="381">
        <f>Довідник!L$83</f>
        <v>145</v>
      </c>
      <c r="M56" s="381">
        <f>Довідник!M$83</f>
        <v>145</v>
      </c>
      <c r="N56" s="382">
        <f>N57/N55/1000</f>
        <v>145</v>
      </c>
    </row>
    <row r="57" spans="1:14" ht="15" thickBot="1" x14ac:dyDescent="0.35">
      <c r="A57" s="171" t="s">
        <v>239</v>
      </c>
      <c r="B57" s="383">
        <f>B55*B56*1000</f>
        <v>112906.66666666667</v>
      </c>
      <c r="C57" s="383">
        <f t="shared" ref="C57:M57" si="59">C55*C56*1000</f>
        <v>140128</v>
      </c>
      <c r="D57" s="383">
        <f t="shared" si="59"/>
        <v>186976.53333333335</v>
      </c>
      <c r="E57" s="383">
        <f t="shared" si="59"/>
        <v>196098</v>
      </c>
      <c r="F57" s="383">
        <f t="shared" si="59"/>
        <v>225937.06666666668</v>
      </c>
      <c r="G57" s="383">
        <f t="shared" si="59"/>
        <v>229146.40000000002</v>
      </c>
      <c r="H57" s="383">
        <f t="shared" si="59"/>
        <v>241504.26666666666</v>
      </c>
      <c r="I57" s="383">
        <f t="shared" si="59"/>
        <v>241504.26666666666</v>
      </c>
      <c r="J57" s="383">
        <f t="shared" si="59"/>
        <v>224761.60000000001</v>
      </c>
      <c r="K57" s="383">
        <f t="shared" si="59"/>
        <v>216803.99999999997</v>
      </c>
      <c r="L57" s="383">
        <f t="shared" si="59"/>
        <v>167040.00000000003</v>
      </c>
      <c r="M57" s="383">
        <f t="shared" si="59"/>
        <v>140746.66666666666</v>
      </c>
      <c r="N57" s="384">
        <f>SUM(B57:M57)</f>
        <v>2323553.4666666668</v>
      </c>
    </row>
    <row r="58" spans="1:14" x14ac:dyDescent="0.3">
      <c r="A58" s="164" t="str">
        <f>A10</f>
        <v>Кефір</v>
      </c>
      <c r="B58" s="379">
        <f>'Виробничий план'!B46</f>
        <v>6.8038834951456302</v>
      </c>
      <c r="C58" s="379">
        <f>'Виробничий план'!C46</f>
        <v>8.444271844660193</v>
      </c>
      <c r="D58" s="379">
        <f>'Виробничий план'!D46</f>
        <v>11.267417475728157</v>
      </c>
      <c r="E58" s="379">
        <f>'Виробничий план'!E46</f>
        <v>11.817087378640778</v>
      </c>
      <c r="F58" s="379">
        <f>'Виробничий план'!F46</f>
        <v>13.615223300970875</v>
      </c>
      <c r="G58" s="379">
        <f>'Виробничий план'!G46</f>
        <v>13.8086213592233</v>
      </c>
      <c r="H58" s="379">
        <f>'Виробничий план'!H46</f>
        <v>14.553320388349514</v>
      </c>
      <c r="I58" s="379">
        <f>'Виробничий план'!I46</f>
        <v>14.553320388349514</v>
      </c>
      <c r="J58" s="379">
        <f>'Виробничий план'!J46</f>
        <v>13.544388349514563</v>
      </c>
      <c r="K58" s="379">
        <f>'Виробничий план'!K46</f>
        <v>13.064854368932039</v>
      </c>
      <c r="L58" s="379">
        <f>'Виробничий план'!L46</f>
        <v>10.066019417475729</v>
      </c>
      <c r="M58" s="379">
        <f>'Виробничий план'!M46</f>
        <v>8.4815533980582511</v>
      </c>
      <c r="N58" s="380">
        <f>SUM(B58:M58)</f>
        <v>140.01996116504856</v>
      </c>
    </row>
    <row r="59" spans="1:14" x14ac:dyDescent="0.3">
      <c r="A59" s="150" t="s">
        <v>238</v>
      </c>
      <c r="B59" s="381">
        <f>Довідник!B$84</f>
        <v>28</v>
      </c>
      <c r="C59" s="381">
        <f>Довідник!C$84</f>
        <v>28</v>
      </c>
      <c r="D59" s="381">
        <f>Довідник!D$84</f>
        <v>28</v>
      </c>
      <c r="E59" s="381">
        <f>Довідник!E$84</f>
        <v>28</v>
      </c>
      <c r="F59" s="381">
        <f>Довідник!F$84</f>
        <v>28</v>
      </c>
      <c r="G59" s="381">
        <f>Довідник!G$84</f>
        <v>28</v>
      </c>
      <c r="H59" s="381">
        <f>Довідник!H$84</f>
        <v>28</v>
      </c>
      <c r="I59" s="381">
        <f>Довідник!I$84</f>
        <v>28</v>
      </c>
      <c r="J59" s="381">
        <f>Довідник!J$84</f>
        <v>28</v>
      </c>
      <c r="K59" s="381">
        <f>Довідник!K$84</f>
        <v>28</v>
      </c>
      <c r="L59" s="381">
        <f>Довідник!L$84</f>
        <v>28</v>
      </c>
      <c r="M59" s="381">
        <f>Довідник!M$84</f>
        <v>28</v>
      </c>
      <c r="N59" s="382">
        <f>N60/N58/1000</f>
        <v>27.999999999999996</v>
      </c>
    </row>
    <row r="60" spans="1:14" ht="15" thickBot="1" x14ac:dyDescent="0.35">
      <c r="A60" s="171" t="s">
        <v>240</v>
      </c>
      <c r="B60" s="383">
        <f>B58*B59*1000</f>
        <v>190508.73786407767</v>
      </c>
      <c r="C60" s="383">
        <f t="shared" ref="C60:M60" si="60">C58*C59*1000</f>
        <v>236439.6116504854</v>
      </c>
      <c r="D60" s="383">
        <f t="shared" si="60"/>
        <v>315487.68932038842</v>
      </c>
      <c r="E60" s="383">
        <f t="shared" si="60"/>
        <v>330878.44660194177</v>
      </c>
      <c r="F60" s="383">
        <f t="shared" si="60"/>
        <v>381226.25242718449</v>
      </c>
      <c r="G60" s="383">
        <f t="shared" si="60"/>
        <v>386641.39805825241</v>
      </c>
      <c r="H60" s="383">
        <f t="shared" si="60"/>
        <v>407492.97087378637</v>
      </c>
      <c r="I60" s="383">
        <f t="shared" si="60"/>
        <v>407492.97087378637</v>
      </c>
      <c r="J60" s="383">
        <f t="shared" si="60"/>
        <v>379242.87378640776</v>
      </c>
      <c r="K60" s="383">
        <f t="shared" si="60"/>
        <v>365815.92233009712</v>
      </c>
      <c r="L60" s="383">
        <f t="shared" si="60"/>
        <v>281848.54368932045</v>
      </c>
      <c r="M60" s="383">
        <f t="shared" si="60"/>
        <v>237483.49514563102</v>
      </c>
      <c r="N60" s="384">
        <f>SUM(B60:M60)</f>
        <v>3920558.9126213589</v>
      </c>
    </row>
    <row r="61" spans="1:14" x14ac:dyDescent="0.3">
      <c r="A61" s="164" t="str">
        <f>A13</f>
        <v>Сметана</v>
      </c>
      <c r="B61" s="379">
        <f>'Виробничий план'!B48</f>
        <v>0.33371428571428569</v>
      </c>
      <c r="C61" s="379">
        <f>'Виробничий план'!C48</f>
        <v>0.41417142857142858</v>
      </c>
      <c r="D61" s="379">
        <f>'Виробничий план'!D48</f>
        <v>0.55264000000000002</v>
      </c>
      <c r="E61" s="379">
        <f>'Виробничий план'!E48</f>
        <v>0.5796</v>
      </c>
      <c r="F61" s="379">
        <f>'Виробничий план'!F48</f>
        <v>0.66779428571428578</v>
      </c>
      <c r="G61" s="379">
        <f>'Виробничий план'!G48</f>
        <v>0.67727999999999999</v>
      </c>
      <c r="H61" s="379">
        <f>'Виробничий план'!H48</f>
        <v>0.71380571428571427</v>
      </c>
      <c r="I61" s="379">
        <f>'Виробничий план'!I48</f>
        <v>0.71380571428571427</v>
      </c>
      <c r="J61" s="379">
        <f>'Виробничий план'!J48</f>
        <v>0.66432000000000002</v>
      </c>
      <c r="K61" s="379">
        <f>'Виробничий план'!K48</f>
        <v>0.64079999999999993</v>
      </c>
      <c r="L61" s="379">
        <f>'Виробничий план'!L48</f>
        <v>0.49371428571428577</v>
      </c>
      <c r="M61" s="379">
        <f>'Виробничий план'!M48</f>
        <v>0.41599999999999998</v>
      </c>
      <c r="N61" s="380">
        <f>SUM(B61:M61)</f>
        <v>6.8676457142857146</v>
      </c>
    </row>
    <row r="62" spans="1:14" x14ac:dyDescent="0.3">
      <c r="A62" s="150" t="s">
        <v>238</v>
      </c>
      <c r="B62" s="381">
        <f>Довідник!B$85</f>
        <v>95</v>
      </c>
      <c r="C62" s="381">
        <f>Довідник!C$85</f>
        <v>95</v>
      </c>
      <c r="D62" s="381">
        <f>Довідник!D$85</f>
        <v>95</v>
      </c>
      <c r="E62" s="381">
        <f>Довідник!E$85</f>
        <v>95</v>
      </c>
      <c r="F62" s="381">
        <f>Довідник!F$85</f>
        <v>95</v>
      </c>
      <c r="G62" s="381">
        <f>Довідник!G$85</f>
        <v>95</v>
      </c>
      <c r="H62" s="381">
        <f>Довідник!H$85</f>
        <v>95</v>
      </c>
      <c r="I62" s="381">
        <f>Довідник!I$85</f>
        <v>95</v>
      </c>
      <c r="J62" s="381">
        <f>Довідник!J$85</f>
        <v>95</v>
      </c>
      <c r="K62" s="381">
        <f>Довідник!K$85</f>
        <v>95</v>
      </c>
      <c r="L62" s="381">
        <f>Довідник!L$85</f>
        <v>95</v>
      </c>
      <c r="M62" s="381">
        <f>Довідник!M$85</f>
        <v>95</v>
      </c>
      <c r="N62" s="382">
        <f>N63/N61/1000</f>
        <v>95</v>
      </c>
    </row>
    <row r="63" spans="1:14" ht="15" thickBot="1" x14ac:dyDescent="0.35">
      <c r="A63" s="171" t="s">
        <v>241</v>
      </c>
      <c r="B63" s="383">
        <f>B61*B62*1000</f>
        <v>31702.857142857141</v>
      </c>
      <c r="C63" s="383">
        <f t="shared" ref="C63" si="61">C61*C62*1000</f>
        <v>39346.28571428571</v>
      </c>
      <c r="D63" s="383">
        <f t="shared" ref="D63" si="62">D61*D62*1000</f>
        <v>52500.800000000003</v>
      </c>
      <c r="E63" s="383">
        <f t="shared" ref="E63" si="63">E61*E62*1000</f>
        <v>55062</v>
      </c>
      <c r="F63" s="383">
        <f t="shared" ref="F63" si="64">F61*F62*1000</f>
        <v>63440.457142857151</v>
      </c>
      <c r="G63" s="383">
        <f t="shared" ref="G63" si="65">G61*G62*1000</f>
        <v>64341.599999999999</v>
      </c>
      <c r="H63" s="383">
        <f t="shared" ref="H63" si="66">H61*H62*1000</f>
        <v>67811.542857142849</v>
      </c>
      <c r="I63" s="383">
        <f t="shared" ref="I63" si="67">I61*I62*1000</f>
        <v>67811.542857142849</v>
      </c>
      <c r="J63" s="383">
        <f t="shared" ref="J63" si="68">J61*J62*1000</f>
        <v>63110.400000000001</v>
      </c>
      <c r="K63" s="383">
        <f t="shared" ref="K63" si="69">K61*K62*1000</f>
        <v>60875.999999999993</v>
      </c>
      <c r="L63" s="383">
        <f t="shared" ref="L63" si="70">L61*L62*1000</f>
        <v>46902.857142857152</v>
      </c>
      <c r="M63" s="383">
        <f t="shared" ref="M63" si="71">M61*M62*1000</f>
        <v>39519.999999999993</v>
      </c>
      <c r="N63" s="384">
        <f>SUM(B63:M63)</f>
        <v>652426.34285714291</v>
      </c>
    </row>
    <row r="64" spans="1:14" x14ac:dyDescent="0.3">
      <c r="A64" s="164" t="str">
        <f>A16</f>
        <v>Сир м'який</v>
      </c>
      <c r="B64" s="379">
        <f>'Виробничий план'!B50</f>
        <v>1.1679999999999999</v>
      </c>
      <c r="C64" s="379">
        <f>'Виробничий план'!C50</f>
        <v>1.4496</v>
      </c>
      <c r="D64" s="379">
        <f>'Виробничий план'!D50</f>
        <v>1.9342400000000002</v>
      </c>
      <c r="E64" s="379">
        <f>'Виробничий план'!E50</f>
        <v>2.0286000000000004</v>
      </c>
      <c r="F64" s="379">
        <f>'Виробничий план'!F50</f>
        <v>2.3372800000000002</v>
      </c>
      <c r="G64" s="379">
        <f>'Виробничий план'!G50</f>
        <v>2.3704800000000001</v>
      </c>
      <c r="H64" s="379">
        <f>'Виробничий план'!H50</f>
        <v>2.4983200000000001</v>
      </c>
      <c r="I64" s="379">
        <f>'Виробничий план'!I50</f>
        <v>2.4983200000000001</v>
      </c>
      <c r="J64" s="379">
        <f>'Виробничий план'!J50</f>
        <v>2.3251200000000001</v>
      </c>
      <c r="K64" s="379">
        <f>'Виробничий план'!K50</f>
        <v>2.2428000000000003</v>
      </c>
      <c r="L64" s="379">
        <f>'Виробничий план'!L50</f>
        <v>1.7280000000000004</v>
      </c>
      <c r="M64" s="379">
        <f>'Виробничий план'!M50</f>
        <v>1.4559999999999997</v>
      </c>
      <c r="N64" s="380">
        <f t="shared" ref="N64" si="72">SUM(B64:M64)</f>
        <v>24.036760000000001</v>
      </c>
    </row>
    <row r="65" spans="1:14" x14ac:dyDescent="0.3">
      <c r="A65" s="150" t="s">
        <v>238</v>
      </c>
      <c r="B65" s="381">
        <f>Довідник!B$86</f>
        <v>160</v>
      </c>
      <c r="C65" s="381">
        <f>Довідник!C$86</f>
        <v>160</v>
      </c>
      <c r="D65" s="381">
        <f>Довідник!D$86</f>
        <v>160</v>
      </c>
      <c r="E65" s="381">
        <f>Довідник!E$86</f>
        <v>160</v>
      </c>
      <c r="F65" s="381">
        <f>Довідник!F$86</f>
        <v>160</v>
      </c>
      <c r="G65" s="381">
        <f>Довідник!G$86</f>
        <v>160</v>
      </c>
      <c r="H65" s="381">
        <f>Довідник!H$86</f>
        <v>160</v>
      </c>
      <c r="I65" s="381">
        <f>Довідник!I$86</f>
        <v>160</v>
      </c>
      <c r="J65" s="381">
        <f>Довідник!J$86</f>
        <v>160</v>
      </c>
      <c r="K65" s="381">
        <f>Довідник!K$86</f>
        <v>160</v>
      </c>
      <c r="L65" s="381">
        <f>Довідник!L$86</f>
        <v>160</v>
      </c>
      <c r="M65" s="381">
        <f>Довідник!M$86</f>
        <v>160</v>
      </c>
      <c r="N65" s="382">
        <f>N66/N64/1000</f>
        <v>160.00000000000003</v>
      </c>
    </row>
    <row r="66" spans="1:14" ht="15" thickBot="1" x14ac:dyDescent="0.35">
      <c r="A66" s="171" t="s">
        <v>242</v>
      </c>
      <c r="B66" s="383">
        <f>B64*B65*1000</f>
        <v>186880</v>
      </c>
      <c r="C66" s="383">
        <f t="shared" ref="C66" si="73">C64*C65*1000</f>
        <v>231936</v>
      </c>
      <c r="D66" s="383">
        <f t="shared" ref="D66" si="74">D64*D65*1000</f>
        <v>309478.40000000002</v>
      </c>
      <c r="E66" s="383">
        <f t="shared" ref="E66" si="75">E64*E65*1000</f>
        <v>324576.00000000006</v>
      </c>
      <c r="F66" s="383">
        <f t="shared" ref="F66" si="76">F64*F65*1000</f>
        <v>373964.80000000005</v>
      </c>
      <c r="G66" s="383">
        <f t="shared" ref="G66" si="77">G64*G65*1000</f>
        <v>379276.80000000005</v>
      </c>
      <c r="H66" s="383">
        <f t="shared" ref="H66" si="78">H64*H65*1000</f>
        <v>399731.20000000001</v>
      </c>
      <c r="I66" s="383">
        <f t="shared" ref="I66" si="79">I64*I65*1000</f>
        <v>399731.20000000001</v>
      </c>
      <c r="J66" s="383">
        <f t="shared" ref="J66" si="80">J64*J65*1000</f>
        <v>372019.20000000001</v>
      </c>
      <c r="K66" s="383">
        <f t="shared" ref="K66" si="81">K64*K65*1000</f>
        <v>358848.00000000006</v>
      </c>
      <c r="L66" s="383">
        <f t="shared" ref="L66" si="82">L64*L65*1000</f>
        <v>276480.00000000006</v>
      </c>
      <c r="M66" s="383">
        <f t="shared" ref="M66" si="83">M64*M65*1000</f>
        <v>232959.99999999994</v>
      </c>
      <c r="N66" s="384">
        <f>SUM(B66:M66)</f>
        <v>3845881.6000000006</v>
      </c>
    </row>
    <row r="67" spans="1:14" x14ac:dyDescent="0.3">
      <c r="A67" s="164" t="str">
        <f>A19</f>
        <v>Сир Рікотта</v>
      </c>
      <c r="B67" s="379">
        <f>'Виробничий план'!B52</f>
        <v>0.35819206657420261</v>
      </c>
      <c r="C67" s="379">
        <f>'Виробничий план'!C52</f>
        <v>0.44455070180305134</v>
      </c>
      <c r="D67" s="379">
        <f>'Виробничий план'!D52</f>
        <v>0.59317587572815544</v>
      </c>
      <c r="E67" s="379">
        <f>'Виробничий план'!E52</f>
        <v>0.62211337864077665</v>
      </c>
      <c r="F67" s="379">
        <f>'Виробничий план'!F52</f>
        <v>0.71677667239944531</v>
      </c>
      <c r="G67" s="379">
        <f>'Виробничий план'!G52</f>
        <v>0.72695815922330087</v>
      </c>
      <c r="H67" s="379">
        <f>'Виробничий план'!H52</f>
        <v>0.76616301692094335</v>
      </c>
      <c r="I67" s="379">
        <f>'Виробничий план'!I52</f>
        <v>0.76616301692094335</v>
      </c>
      <c r="J67" s="379">
        <f>'Виробничий план'!J52</f>
        <v>0.71304754951456295</v>
      </c>
      <c r="K67" s="379">
        <f>'Виробничий план'!K52</f>
        <v>0.68780236893203917</v>
      </c>
      <c r="L67" s="379">
        <f>'Виробничий план'!L52</f>
        <v>0.52992798890429949</v>
      </c>
      <c r="M67" s="379">
        <f>'Виробничий план'!M52</f>
        <v>0.44651339805825235</v>
      </c>
      <c r="N67" s="380">
        <f t="shared" ref="N67" si="84">SUM(B67:M67)</f>
        <v>7.3713841936199733</v>
      </c>
    </row>
    <row r="68" spans="1:14" x14ac:dyDescent="0.3">
      <c r="A68" s="150" t="s">
        <v>238</v>
      </c>
      <c r="B68" s="381">
        <f>Довідник!B$89</f>
        <v>200</v>
      </c>
      <c r="C68" s="381">
        <f>Довідник!C$89</f>
        <v>200</v>
      </c>
      <c r="D68" s="381">
        <f>Довідник!D$89</f>
        <v>200</v>
      </c>
      <c r="E68" s="381">
        <f>Довідник!E$89</f>
        <v>200</v>
      </c>
      <c r="F68" s="381">
        <f>Довідник!F$89</f>
        <v>200</v>
      </c>
      <c r="G68" s="381">
        <f>Довідник!G$89</f>
        <v>200</v>
      </c>
      <c r="H68" s="381">
        <f>Довідник!H$89</f>
        <v>200</v>
      </c>
      <c r="I68" s="381">
        <f>Довідник!I$89</f>
        <v>200</v>
      </c>
      <c r="J68" s="381">
        <f>Довідник!J$89</f>
        <v>200</v>
      </c>
      <c r="K68" s="381">
        <f>Довідник!K$89</f>
        <v>200</v>
      </c>
      <c r="L68" s="381">
        <f>Довідник!L$89</f>
        <v>200</v>
      </c>
      <c r="M68" s="381">
        <f>Довідник!M$89</f>
        <v>200</v>
      </c>
      <c r="N68" s="382">
        <f>N69/N67/1000</f>
        <v>200</v>
      </c>
    </row>
    <row r="69" spans="1:14" ht="15" thickBot="1" x14ac:dyDescent="0.35">
      <c r="A69" s="171" t="s">
        <v>243</v>
      </c>
      <c r="B69" s="383">
        <f>B67*B68*1000</f>
        <v>71638.413314840524</v>
      </c>
      <c r="C69" s="383">
        <f t="shared" ref="C69" si="85">C67*C68*1000</f>
        <v>88910.140360610269</v>
      </c>
      <c r="D69" s="383">
        <f t="shared" ref="D69" si="86">D67*D68*1000</f>
        <v>118635.17514563109</v>
      </c>
      <c r="E69" s="383">
        <f t="shared" ref="E69" si="87">E67*E68*1000</f>
        <v>124422.67572815533</v>
      </c>
      <c r="F69" s="383">
        <f t="shared" ref="F69" si="88">F67*F68*1000</f>
        <v>143355.33447988905</v>
      </c>
      <c r="G69" s="383">
        <f t="shared" ref="G69" si="89">G67*G68*1000</f>
        <v>145391.63184466018</v>
      </c>
      <c r="H69" s="383">
        <f t="shared" ref="H69" si="90">H67*H68*1000</f>
        <v>153232.60338418867</v>
      </c>
      <c r="I69" s="383">
        <f t="shared" ref="I69" si="91">I67*I68*1000</f>
        <v>153232.60338418867</v>
      </c>
      <c r="J69" s="383">
        <f t="shared" ref="J69" si="92">J67*J68*1000</f>
        <v>142609.50990291257</v>
      </c>
      <c r="K69" s="383">
        <f t="shared" ref="K69" si="93">K67*K68*1000</f>
        <v>137560.47378640785</v>
      </c>
      <c r="L69" s="383">
        <f t="shared" ref="L69" si="94">L67*L68*1000</f>
        <v>105985.59778085988</v>
      </c>
      <c r="M69" s="383">
        <f t="shared" ref="M69" si="95">M67*M68*1000</f>
        <v>89302.67961165047</v>
      </c>
      <c r="N69" s="384">
        <f>SUM(B69:M69)</f>
        <v>1474276.8387239946</v>
      </c>
    </row>
    <row r="70" spans="1:14" ht="15" thickBot="1" x14ac:dyDescent="0.35">
      <c r="A70" s="273" t="s">
        <v>244</v>
      </c>
      <c r="B70" s="274">
        <f>B54+B57+B60+B63+B66+B69</f>
        <v>649700.67498844198</v>
      </c>
      <c r="C70" s="274">
        <f t="shared" ref="C70" si="96">C54+C57+C60+C63+C66+C69</f>
        <v>806340.83772538137</v>
      </c>
      <c r="D70" s="274">
        <f t="shared" ref="D70" si="97">D54+D57+D60+D63+D66+D69</f>
        <v>1075922.1177993529</v>
      </c>
      <c r="E70" s="274">
        <f t="shared" ref="E70" si="98">E54+E57+E60+E63+E66+E69</f>
        <v>1128409.9223300971</v>
      </c>
      <c r="F70" s="274">
        <f t="shared" ref="F70" si="99">F54+F57+F60+F63+F66+F69</f>
        <v>1300113.3507165976</v>
      </c>
      <c r="G70" s="274">
        <f t="shared" ref="G70" si="100">G54+G57+G60+G63+G66+G69</f>
        <v>1318580.8699029125</v>
      </c>
      <c r="H70" s="274">
        <f t="shared" ref="H70" si="101">H54+H57+H60+H63+H66+H69</f>
        <v>1389691.9437817845</v>
      </c>
      <c r="I70" s="274">
        <f t="shared" ref="I70" si="102">I54+I57+I60+I63+I66+I69</f>
        <v>1389691.9437817845</v>
      </c>
      <c r="J70" s="274">
        <f t="shared" ref="J70" si="103">J54+J57+J60+J63+J66+J69</f>
        <v>1293349.3436893204</v>
      </c>
      <c r="K70" s="274">
        <f t="shared" ref="K70" si="104">K54+K57+K60+K63+K66+K69</f>
        <v>1247558.7961165051</v>
      </c>
      <c r="L70" s="274">
        <f t="shared" ref="L70" si="105">L54+L57+L60+L63+L66+L69</f>
        <v>961200.99861303775</v>
      </c>
      <c r="M70" s="274">
        <f t="shared" ref="M70" si="106">M54+M57+M60+M63+M66+M69</f>
        <v>809900.84142394806</v>
      </c>
      <c r="N70" s="275">
        <f>SUM(B70:M70)</f>
        <v>13370461.640869163</v>
      </c>
    </row>
  </sheetData>
  <sheetProtection algorithmName="SHA-512" hashValue="vc0Jqo8L9RDqnnYjet5UZ6XUbJDId7EWyUIrL1w9gUAvzeVg2K0vl1eR1IUisJQimer2d2+FlWnqEyhePPwL3A==" saltValue="U1Ls34LVM6/9FxfdK7i+yg==" spinCount="100000" sheet="1" objects="1" scenarios="1"/>
  <mergeCells count="15">
    <mergeCell ref="A1:N1"/>
    <mergeCell ref="A2:A3"/>
    <mergeCell ref="B2:M2"/>
    <mergeCell ref="N2:N3"/>
    <mergeCell ref="A26:A27"/>
    <mergeCell ref="B26:M26"/>
    <mergeCell ref="N26:N27"/>
    <mergeCell ref="A25:N25"/>
    <mergeCell ref="Q2:R2"/>
    <mergeCell ref="Q3:V5"/>
    <mergeCell ref="A49:N49"/>
    <mergeCell ref="A50:A51"/>
    <mergeCell ref="B50:M50"/>
    <mergeCell ref="N50:N51"/>
    <mergeCell ref="Q7:U21"/>
  </mergeCells>
  <pageMargins left="0.7" right="0.7" top="0.75" bottom="0.75" header="0.3" footer="0.3"/>
  <pageSetup paperSize="0" orientation="portrait" horizontalDpi="0" verticalDpi="0" copies="0"/>
  <ignoredErrors>
    <ignoredError sqref="N5 N8 N11 N14 N17 N20 N29 N32 N35 N38 N41 N44 N53 N56 N59 N62 N65 N68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M22"/>
  <sheetViews>
    <sheetView workbookViewId="0">
      <selection activeCell="H10" sqref="H10"/>
    </sheetView>
  </sheetViews>
  <sheetFormatPr defaultColWidth="9.109375" defaultRowHeight="13.8" x14ac:dyDescent="0.3"/>
  <cols>
    <col min="1" max="1" width="31.88671875" style="368" customWidth="1"/>
    <col min="2" max="5" width="12.6640625" style="368" customWidth="1"/>
    <col min="6" max="16384" width="9.109375" style="368"/>
  </cols>
  <sheetData>
    <row r="1" spans="1:13" ht="35.25" customHeight="1" thickBot="1" x14ac:dyDescent="0.35">
      <c r="A1" s="510" t="s">
        <v>245</v>
      </c>
      <c r="B1" s="510"/>
      <c r="C1" s="510"/>
      <c r="D1" s="510"/>
      <c r="E1" s="510"/>
    </row>
    <row r="2" spans="1:13" s="369" customFormat="1" ht="15" customHeight="1" x14ac:dyDescent="0.3">
      <c r="A2" s="505" t="s">
        <v>32</v>
      </c>
      <c r="B2" s="507" t="s">
        <v>246</v>
      </c>
      <c r="C2" s="507"/>
      <c r="D2" s="507"/>
      <c r="E2" s="508" t="s">
        <v>63</v>
      </c>
      <c r="H2" s="481" t="s">
        <v>127</v>
      </c>
      <c r="I2" s="481"/>
      <c r="J2" s="426"/>
      <c r="K2" s="426"/>
      <c r="L2" s="426"/>
      <c r="M2" s="426"/>
    </row>
    <row r="3" spans="1:13" s="369" customFormat="1" ht="24.6" customHeight="1" thickBot="1" x14ac:dyDescent="0.35">
      <c r="A3" s="506"/>
      <c r="B3" s="370" t="s">
        <v>48</v>
      </c>
      <c r="C3" s="370" t="s">
        <v>48</v>
      </c>
      <c r="D3" s="370" t="s">
        <v>48</v>
      </c>
      <c r="E3" s="509"/>
      <c r="H3" s="499" t="s">
        <v>247</v>
      </c>
      <c r="I3" s="499"/>
      <c r="J3" s="499"/>
      <c r="K3" s="499"/>
      <c r="L3" s="499"/>
      <c r="M3" s="499"/>
    </row>
    <row r="4" spans="1:13" x14ac:dyDescent="0.3">
      <c r="A4" s="325" t="str">
        <f>'Надходження коштів'!A4</f>
        <v>Молоко питне</v>
      </c>
      <c r="B4" s="371">
        <f>'Надходження коштів'!N4</f>
        <v>15.027520000000001</v>
      </c>
      <c r="C4" s="371">
        <f>'Надходження коштів'!N28</f>
        <v>33.443040000000003</v>
      </c>
      <c r="D4" s="371">
        <f>'Надходження коштів'!N52</f>
        <v>48.073520000000002</v>
      </c>
      <c r="E4" s="372">
        <f>SUM(B4:D4)</f>
        <v>96.544080000000008</v>
      </c>
      <c r="H4" s="499"/>
      <c r="I4" s="499"/>
      <c r="J4" s="499"/>
      <c r="K4" s="499"/>
      <c r="L4" s="499"/>
      <c r="M4" s="499"/>
    </row>
    <row r="5" spans="1:13" x14ac:dyDescent="0.3">
      <c r="A5" s="313" t="s">
        <v>248</v>
      </c>
      <c r="B5" s="373">
        <f>'Надходження коштів'!N5</f>
        <v>23.999999999999996</v>
      </c>
      <c r="C5" s="373">
        <f>'Надходження коштів'!N29</f>
        <v>24</v>
      </c>
      <c r="D5" s="373">
        <f>'Надходження коштів'!N53</f>
        <v>24</v>
      </c>
      <c r="E5" s="374">
        <f>E6/E4/1000</f>
        <v>23.999999999999996</v>
      </c>
      <c r="H5" s="499"/>
      <c r="I5" s="499"/>
      <c r="J5" s="499"/>
      <c r="K5" s="499"/>
      <c r="L5" s="499"/>
      <c r="M5" s="499"/>
    </row>
    <row r="6" spans="1:13" ht="27" thickBot="1" x14ac:dyDescent="0.35">
      <c r="A6" s="318" t="s">
        <v>249</v>
      </c>
      <c r="B6" s="375">
        <f>'Надходження коштів'!N6</f>
        <v>360660.47999999998</v>
      </c>
      <c r="C6" s="375">
        <f>'Надходження коштів'!N30</f>
        <v>802632.96000000008</v>
      </c>
      <c r="D6" s="375">
        <f>'Надходження коштів'!N54</f>
        <v>1153764.48</v>
      </c>
      <c r="E6" s="376">
        <f t="shared" ref="E6:E7" si="0">SUM(B6:D6)</f>
        <v>2317057.92</v>
      </c>
      <c r="H6" s="504" t="s">
        <v>392</v>
      </c>
      <c r="I6" s="504"/>
      <c r="J6" s="504"/>
      <c r="K6" s="504"/>
      <c r="L6" s="504"/>
      <c r="M6" s="504"/>
    </row>
    <row r="7" spans="1:13" x14ac:dyDescent="0.3">
      <c r="A7" s="325" t="str">
        <f>'Надходження коштів'!A7</f>
        <v>Сир кисломолочний</v>
      </c>
      <c r="B7" s="371">
        <f>'Надходження коштів'!N7</f>
        <v>5.009173333333333</v>
      </c>
      <c r="C7" s="371">
        <f>'Надходження коштів'!N31</f>
        <v>11.147679999999999</v>
      </c>
      <c r="D7" s="371">
        <f>'Надходження коштів'!N55</f>
        <v>16.024506666666667</v>
      </c>
      <c r="E7" s="372">
        <f t="shared" si="0"/>
        <v>32.181359999999998</v>
      </c>
      <c r="H7" s="504"/>
      <c r="I7" s="504"/>
      <c r="J7" s="504"/>
      <c r="K7" s="504"/>
      <c r="L7" s="504"/>
      <c r="M7" s="504"/>
    </row>
    <row r="8" spans="1:13" x14ac:dyDescent="0.3">
      <c r="A8" s="313" t="s">
        <v>250</v>
      </c>
      <c r="B8" s="373">
        <f>'Надходження коштів'!N8</f>
        <v>145</v>
      </c>
      <c r="C8" s="373">
        <f>'Надходження коштів'!N32</f>
        <v>145</v>
      </c>
      <c r="D8" s="373">
        <f>'Надходження коштів'!N56</f>
        <v>145</v>
      </c>
      <c r="E8" s="374">
        <f>E9/E7/1000</f>
        <v>145.00000000000003</v>
      </c>
      <c r="H8" s="504"/>
      <c r="I8" s="504"/>
      <c r="J8" s="504"/>
      <c r="K8" s="504"/>
      <c r="L8" s="504"/>
      <c r="M8" s="504"/>
    </row>
    <row r="9" spans="1:13" ht="27.75" customHeight="1" thickBot="1" x14ac:dyDescent="0.35">
      <c r="A9" s="318" t="s">
        <v>251</v>
      </c>
      <c r="B9" s="375">
        <f>'Надходження коштів'!N9</f>
        <v>726330.1333333333</v>
      </c>
      <c r="C9" s="375">
        <f>'Надходження коштів'!N33</f>
        <v>1616413.5999999999</v>
      </c>
      <c r="D9" s="375">
        <f>'Надходження коштів'!N57</f>
        <v>2323553.4666666668</v>
      </c>
      <c r="E9" s="376">
        <f t="shared" ref="E9:E21" si="1">SUM(B9:D9)</f>
        <v>4666297.2</v>
      </c>
      <c r="H9" s="504"/>
      <c r="I9" s="504"/>
      <c r="J9" s="504"/>
      <c r="K9" s="504"/>
      <c r="L9" s="504"/>
      <c r="M9" s="504"/>
    </row>
    <row r="10" spans="1:13" x14ac:dyDescent="0.3">
      <c r="A10" s="325" t="str">
        <f>'Надходження коштів'!A10</f>
        <v>Кефір</v>
      </c>
      <c r="B10" s="371">
        <f>'Надходження коштів'!N10</f>
        <v>43.769475728155342</v>
      </c>
      <c r="C10" s="371">
        <f>'Надходження коштів'!N34</f>
        <v>97.406912621359211</v>
      </c>
      <c r="D10" s="371">
        <f>'Надходження коштів'!N58</f>
        <v>140.01996116504856</v>
      </c>
      <c r="E10" s="372">
        <f t="shared" si="1"/>
        <v>281.19634951456311</v>
      </c>
    </row>
    <row r="11" spans="1:13" x14ac:dyDescent="0.3">
      <c r="A11" s="313" t="s">
        <v>250</v>
      </c>
      <c r="B11" s="373">
        <f>'Надходження коштів'!N11</f>
        <v>27.999999999999996</v>
      </c>
      <c r="C11" s="373">
        <f>'Надходження коштів'!N35</f>
        <v>28</v>
      </c>
      <c r="D11" s="373">
        <f>'Надходження коштів'!N59</f>
        <v>27.999999999999996</v>
      </c>
      <c r="E11" s="374">
        <f>E12/E10/1000</f>
        <v>28</v>
      </c>
    </row>
    <row r="12" spans="1:13" ht="27" thickBot="1" x14ac:dyDescent="0.35">
      <c r="A12" s="318" t="s">
        <v>252</v>
      </c>
      <c r="B12" s="375">
        <f>'Надходження коштів'!N12</f>
        <v>1225545.3203883495</v>
      </c>
      <c r="C12" s="375">
        <f>'Надходження коштів'!N36</f>
        <v>2727393.5533980578</v>
      </c>
      <c r="D12" s="375">
        <f>'Надходження коштів'!N60</f>
        <v>3920558.9126213589</v>
      </c>
      <c r="E12" s="376">
        <f t="shared" si="1"/>
        <v>7873497.7864077669</v>
      </c>
    </row>
    <row r="13" spans="1:13" x14ac:dyDescent="0.3">
      <c r="A13" s="377" t="str">
        <f>'Надходження коштів'!A13</f>
        <v>Сметана</v>
      </c>
      <c r="B13" s="371">
        <f>'Надходження коштів'!N13</f>
        <v>2.1467885714285715</v>
      </c>
      <c r="C13" s="371">
        <f>'Надходження коштів'!N37</f>
        <v>4.777577142857143</v>
      </c>
      <c r="D13" s="371">
        <f>'Надходження коштів'!N61</f>
        <v>6.8676457142857146</v>
      </c>
      <c r="E13" s="372">
        <f t="shared" si="1"/>
        <v>13.792011428571429</v>
      </c>
    </row>
    <row r="14" spans="1:13" x14ac:dyDescent="0.3">
      <c r="A14" s="313" t="s">
        <v>250</v>
      </c>
      <c r="B14" s="373">
        <f>'Надходження коштів'!N14</f>
        <v>95</v>
      </c>
      <c r="C14" s="373">
        <f>'Надходження коштів'!N38</f>
        <v>95</v>
      </c>
      <c r="D14" s="373">
        <f>'Надходження коштів'!N62</f>
        <v>95</v>
      </c>
      <c r="E14" s="374">
        <f>E15/E13/1000</f>
        <v>95</v>
      </c>
    </row>
    <row r="15" spans="1:13" ht="27" thickBot="1" x14ac:dyDescent="0.35">
      <c r="A15" s="318" t="s">
        <v>253</v>
      </c>
      <c r="B15" s="375">
        <f>'Надходження коштів'!N15</f>
        <v>203944.9142857143</v>
      </c>
      <c r="C15" s="375">
        <f>'Надходження коштів'!N39</f>
        <v>453869.8285714286</v>
      </c>
      <c r="D15" s="375">
        <f>'Надходження коштів'!N63</f>
        <v>652426.34285714291</v>
      </c>
      <c r="E15" s="376">
        <f t="shared" si="1"/>
        <v>1310241.0857142857</v>
      </c>
    </row>
    <row r="16" spans="1:13" x14ac:dyDescent="0.3">
      <c r="A16" s="377" t="str">
        <f>'Надходження коштів'!A16</f>
        <v>Сир м'який</v>
      </c>
      <c r="B16" s="371">
        <f>'Надходження коштів'!N16</f>
        <v>7.5137600000000004</v>
      </c>
      <c r="C16" s="371">
        <f>'Надходження коштів'!N40</f>
        <v>16.721520000000002</v>
      </c>
      <c r="D16" s="371">
        <f>'Надходження коштів'!N64</f>
        <v>24.036760000000001</v>
      </c>
      <c r="E16" s="372">
        <f t="shared" si="1"/>
        <v>48.272040000000004</v>
      </c>
    </row>
    <row r="17" spans="1:5" x14ac:dyDescent="0.3">
      <c r="A17" s="313" t="s">
        <v>250</v>
      </c>
      <c r="B17" s="373">
        <f>'Надходження коштів'!N17</f>
        <v>159.99999999999997</v>
      </c>
      <c r="C17" s="373">
        <f>'Надходження коштів'!N41</f>
        <v>160</v>
      </c>
      <c r="D17" s="373">
        <f>'Надходження коштів'!N65</f>
        <v>160.00000000000003</v>
      </c>
      <c r="E17" s="374">
        <f>E18/E16/1000</f>
        <v>160</v>
      </c>
    </row>
    <row r="18" spans="1:5" ht="27" thickBot="1" x14ac:dyDescent="0.35">
      <c r="A18" s="318" t="s">
        <v>254</v>
      </c>
      <c r="B18" s="375">
        <f>'Надходження коштів'!N18</f>
        <v>1202201.5999999999</v>
      </c>
      <c r="C18" s="375">
        <f>'Надходження коштів'!N42</f>
        <v>2675443.2000000002</v>
      </c>
      <c r="D18" s="375">
        <f>'Надходження коштів'!N66</f>
        <v>3845881.6000000006</v>
      </c>
      <c r="E18" s="376">
        <f t="shared" si="1"/>
        <v>7723526.4000000004</v>
      </c>
    </row>
    <row r="19" spans="1:5" x14ac:dyDescent="0.3">
      <c r="A19" s="325" t="str">
        <f>'Надходження коштів'!A19</f>
        <v>Сир Рікотта</v>
      </c>
      <c r="B19" s="371">
        <f>'Надходження коштів'!N19</f>
        <v>2.3042544710124826</v>
      </c>
      <c r="C19" s="371">
        <f>'Надходження коштів'!N43</f>
        <v>5.1280101070735098</v>
      </c>
      <c r="D19" s="371">
        <f>'Надходження коштів'!N67</f>
        <v>7.3713841936199733</v>
      </c>
      <c r="E19" s="372">
        <f t="shared" si="1"/>
        <v>14.803648771705966</v>
      </c>
    </row>
    <row r="20" spans="1:5" x14ac:dyDescent="0.3">
      <c r="A20" s="313" t="s">
        <v>250</v>
      </c>
      <c r="B20" s="373">
        <f>'Надходження коштів'!N20</f>
        <v>200</v>
      </c>
      <c r="C20" s="373">
        <f>'Надходження коштів'!N44</f>
        <v>199.99999999999997</v>
      </c>
      <c r="D20" s="373">
        <f>'Надходження коштів'!N68</f>
        <v>200</v>
      </c>
      <c r="E20" s="374">
        <f>E21/E19/1000</f>
        <v>199.99999999999997</v>
      </c>
    </row>
    <row r="21" spans="1:5" ht="27" thickBot="1" x14ac:dyDescent="0.35">
      <c r="A21" s="318" t="s">
        <v>255</v>
      </c>
      <c r="B21" s="375">
        <f>'Надходження коштів'!N21</f>
        <v>460850.89420249651</v>
      </c>
      <c r="C21" s="375">
        <f>'Надходження коштів'!N45</f>
        <v>1025602.0214147018</v>
      </c>
      <c r="D21" s="375">
        <f>'Надходження коштів'!N69</f>
        <v>1474276.8387239946</v>
      </c>
      <c r="E21" s="376">
        <f t="shared" si="1"/>
        <v>2960729.7543411925</v>
      </c>
    </row>
    <row r="22" spans="1:5" ht="27.6" thickBot="1" x14ac:dyDescent="0.35">
      <c r="A22" s="302" t="s">
        <v>256</v>
      </c>
      <c r="B22" s="378">
        <f>B6+B9+B12+B15+B18+B21</f>
        <v>4179533.3422098937</v>
      </c>
      <c r="C22" s="378">
        <f t="shared" ref="C22:E22" si="2">C6+C9+C12+C15+C18+C21</f>
        <v>9301355.163384188</v>
      </c>
      <c r="D22" s="378">
        <f t="shared" si="2"/>
        <v>13370461.640869163</v>
      </c>
      <c r="E22" s="378">
        <f t="shared" si="2"/>
        <v>26851350.146463245</v>
      </c>
    </row>
  </sheetData>
  <sheetProtection algorithmName="SHA-512" hashValue="Fd8jk7bai/PLkQ9M+eI/w86Phi/SoDpURQbIbM+rl2+g3c0F0elLQZ+tocECuthU/h7vIYXSqTCV0VG3+1pKTw==" saltValue="82uIRZfN4t/yZb4XdMFyWQ==" spinCount="100000" sheet="1" objects="1" scenarios="1"/>
  <mergeCells count="7">
    <mergeCell ref="H6:M9"/>
    <mergeCell ref="A2:A3"/>
    <mergeCell ref="B2:D2"/>
    <mergeCell ref="E2:E3"/>
    <mergeCell ref="A1:E1"/>
    <mergeCell ref="H2:I2"/>
    <mergeCell ref="H3:M5"/>
  </mergeCells>
  <pageMargins left="0.7" right="0.7" top="0.75" bottom="0.75" header="0.3" footer="0.3"/>
  <pageSetup paperSize="9" orientation="portrait" r:id="rId1"/>
  <ignoredErrors>
    <ignoredError sqref="E5 E8 E11 E14 E17 E20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d1f752-5ad8-4e40-81d3-93c15d0ad412" xsi:nil="true"/>
    <lcf76f155ced4ddcb4097134ff3c332f xmlns="22d188be-2e03-45ca-8c40-fe9ace81ea9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5CD14E4D709AD6439B84AD53394216E6" ma:contentTypeVersion="16" ma:contentTypeDescription="Создание документа." ma:contentTypeScope="" ma:versionID="0ef8fb22cfe906568e99fe5c17029c0e">
  <xsd:schema xmlns:xsd="http://www.w3.org/2001/XMLSchema" xmlns:xs="http://www.w3.org/2001/XMLSchema" xmlns:p="http://schemas.microsoft.com/office/2006/metadata/properties" xmlns:ns2="afd1f752-5ad8-4e40-81d3-93c15d0ad412" xmlns:ns3="22d188be-2e03-45ca-8c40-fe9ace81ea94" targetNamespace="http://schemas.microsoft.com/office/2006/metadata/properties" ma:root="true" ma:fieldsID="151c68caa088689e0e327623e4e0249e" ns2:_="" ns3:_="">
    <xsd:import namespace="afd1f752-5ad8-4e40-81d3-93c15d0ad412"/>
    <xsd:import namespace="22d188be-2e03-45ca-8c40-fe9ace81ea9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d1f752-5ad8-4e40-81d3-93c15d0ad4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e416d15-05df-4b02-b013-1763d17d4e14}" ma:internalName="TaxCatchAll" ma:showField="CatchAllData" ma:web="afd1f752-5ad8-4e40-81d3-93c15d0ad4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188be-2e03-45ca-8c40-fe9ace81ea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5e352b09-e46b-4386-94ca-80be6ddc5b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Q D A A B Q S w M E F A A C A A g A 8 I W T V c s y x J e k A A A A 9 Q A A A B I A H A B D b 2 5 m a W c v U G F j a 2 F n Z S 5 4 b W w g o h g A K K A U A A A A A A A A A A A A A A A A A A A A A A A A A A A A h Y 8 9 D o I w A I W v Q r r T 1 m o M k l I G V 0 m M R u P a l A q N U E x / L H d z 8 E h e Q Y y i b o 7 v e 9 / w 3 v 1 6 o 3 n f N t F F G q s 6 n Y E J x C C S W n S l 0 l U G v D v G C c g Z X X N x 4 p W M B l n b t L d l B m r n z i l C I Q Q Y p r A z F S I Y T 9 C h W G 1 F L V s O P r L 6 L 8 d K W 8 e 1 k I D R / W s M I 3 A x h 8 m M Q E z R y G i h 9 L c n w 9 x n + w P p 0 j f O G 8 m M j z c 7 i s Z I 0 f s C e w B Q S w M E F A A C A A g A 8 I W T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C F k 1 U o i k e 4 D g A A A B E A A A A T A B w A R m 9 y b X V s Y X M v U 2 V j d G l v b j E u b S C i G A A o o B Q A A A A A A A A A A A A A A A A A A A A A A A A A A A A r T k 0 u y c z P U w i G 0 I b W A F B L A Q I t A B Q A A g A I A P C F k 1 X L M s S X p A A A A P U A A A A S A A A A A A A A A A A A A A A A A A A A A A B D b 2 5 m a W c v U G F j a 2 F n Z S 5 4 b W x Q S w E C L Q A U A A I A C A D w h Z N V D 8 r p q 6 Q A A A D p A A A A E w A A A A A A A A A A A A A A A A D w A A A A W 0 N v b n R l b n R f V H l w Z X N d L n h t b F B L A Q I t A B Q A A g A I A P C F k 1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W P 9 j U 2 v P M R o y m I 5 t 6 a N o 0 A A A A A A I A A A A A A B B m A A A A A Q A A I A A A A N H 5 o e 1 M J u f N d 1 / k z J 0 D p 4 3 m d A 6 R / 8 w k O i m c 9 u Y C w S 1 J A A A A A A 6 A A A A A A g A A I A A A A B L B K B J u 6 B J g 7 U v J 0 b a G y W F q 9 b E Y S j R C a 4 S O Z 2 O b n t m u U A A A A N X t n u p X P n r 3 V o 9 h V K J Y M 4 U + V C b 5 L U i e S e F g 2 D n 6 a d E v P 1 k x R K u T i u m 0 / t k P / B 4 k 3 q + s 1 X h n j / 9 w / o r i M V C S C D x v q w 8 T y t d V z b J w G 3 U 4 6 B J d Q A A A A P i F n f I Q m A 0 F v O M R e l S I b b 7 n Q 7 D P z N 0 6 c u 5 1 0 L p Z u u x O S u A + H v I 5 0 9 p J z w N K 1 V i K c a G o 5 u j n m G Y P G P E C 6 D c 9 J M Q = < / D a t a M a s h u p > 
</file>

<file path=customXml/itemProps1.xml><?xml version="1.0" encoding="utf-8"?>
<ds:datastoreItem xmlns:ds="http://schemas.openxmlformats.org/officeDocument/2006/customXml" ds:itemID="{E143B159-5D81-4DD5-AB68-02AF3B4159EF}">
  <ds:schemaRefs>
    <ds:schemaRef ds:uri="22d188be-2e03-45ca-8c40-fe9ace81ea94"/>
    <ds:schemaRef ds:uri="http://schemas.openxmlformats.org/package/2006/metadata/core-properties"/>
    <ds:schemaRef ds:uri="afd1f752-5ad8-4e40-81d3-93c15d0ad412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F0AE100-F562-4181-800A-DE4C4DE598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68D466-123C-463E-A5B7-875E29E326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d1f752-5ad8-4e40-81d3-93c15d0ad412"/>
    <ds:schemaRef ds:uri="22d188be-2e03-45ca-8c40-fe9ace81ea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CB7E63D-AEFE-4527-BF60-A1B1F6E5093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29</vt:i4>
      </vt:variant>
    </vt:vector>
  </HeadingPairs>
  <TitlesOfParts>
    <vt:vector size="29" baseType="lpstr">
      <vt:lpstr>1</vt:lpstr>
      <vt:lpstr>Довідник</vt:lpstr>
      <vt:lpstr>Інвестиції</vt:lpstr>
      <vt:lpstr>План вступу в члени</vt:lpstr>
      <vt:lpstr>Збір молока по селах</vt:lpstr>
      <vt:lpstr>Збір молока</vt:lpstr>
      <vt:lpstr>Виробничий план</vt:lpstr>
      <vt:lpstr>Надходження коштів</vt:lpstr>
      <vt:lpstr>Реалізація</vt:lpstr>
      <vt:lpstr>Відстань</vt:lpstr>
      <vt:lpstr>ПММ</vt:lpstr>
      <vt:lpstr>Транспорт</vt:lpstr>
      <vt:lpstr>Фонд ОП</vt:lpstr>
      <vt:lpstr>ОП</vt:lpstr>
      <vt:lpstr>Енергоресурси НП</vt:lpstr>
      <vt:lpstr>Енергоресурси ГРН</vt:lpstr>
      <vt:lpstr>Матеріали1</vt:lpstr>
      <vt:lpstr>Матеріали2</vt:lpstr>
      <vt:lpstr>Молоко-сировина</vt:lpstr>
      <vt:lpstr>Витрати на збут</vt:lpstr>
      <vt:lpstr>Експл витрати</vt:lpstr>
      <vt:lpstr>АВ</vt:lpstr>
      <vt:lpstr>Накладні витрати</vt:lpstr>
      <vt:lpstr>Розподіл НВ</vt:lpstr>
      <vt:lpstr>Кошторис</vt:lpstr>
      <vt:lpstr>Собівартість</vt:lpstr>
      <vt:lpstr>Рентабельність</vt:lpstr>
      <vt:lpstr>Фін результат</vt:lpstr>
      <vt:lpstr>Рух коштів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1</cp:lastModifiedBy>
  <cp:revision/>
  <dcterms:created xsi:type="dcterms:W3CDTF">2017-09-27T20:04:05Z</dcterms:created>
  <dcterms:modified xsi:type="dcterms:W3CDTF">2022-12-27T08:13:48Z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0x0101005CD14E4D709AD6439B84AD53394216E6</vt:lpwstr>
  </property>
  <property fmtid="{D5CDD505-2E9C-101B-9397-08002B2CF9AE}" pid="3" name="MediaServiceImageTags">
    <vt:lpwstr/>
  </property>
</Properties>
</file>